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13_ncr:1_{D0B32CA3-379E-43B3-8EB8-D600C4076460}" xr6:coauthVersionLast="36" xr6:coauthVersionMax="36" xr10:uidLastSave="{00000000-0000-0000-0000-000000000000}"/>
  <bookViews>
    <workbookView xWindow="0" yWindow="0" windowWidth="19200" windowHeight="6930" xr2:uid="{4F4F8860-D0EF-4F25-8614-36A246AD9B6B}"/>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2020'!$A$5:$AB$36</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2020'!$A$1:$AB$186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6" i="1" l="1"/>
  <c r="O175" i="1"/>
  <c r="N175" i="1" s="1"/>
  <c r="M175" i="1" s="1"/>
  <c r="N174" i="1"/>
  <c r="M174" i="1" s="1"/>
  <c r="N173" i="1"/>
  <c r="M173" i="1" s="1"/>
  <c r="N172" i="1"/>
  <c r="M172" i="1" s="1"/>
  <c r="N171" i="1"/>
  <c r="M171" i="1" s="1"/>
  <c r="N170" i="1"/>
  <c r="M170" i="1" s="1"/>
  <c r="N169" i="1"/>
  <c r="M169" i="1" s="1"/>
  <c r="O168" i="1"/>
  <c r="N168" i="1" s="1"/>
  <c r="M168" i="1" s="1"/>
  <c r="N167" i="1"/>
  <c r="M167" i="1" s="1"/>
  <c r="N166" i="1"/>
  <c r="M166" i="1" s="1"/>
  <c r="N165" i="1"/>
  <c r="M165" i="1" s="1"/>
  <c r="O164" i="1"/>
  <c r="N164" i="1" s="1"/>
  <c r="M164" i="1" s="1"/>
  <c r="O163" i="1"/>
  <c r="N163" i="1" s="1"/>
  <c r="M163" i="1" s="1"/>
  <c r="O162" i="1"/>
  <c r="N162" i="1" s="1"/>
  <c r="M162" i="1" s="1"/>
  <c r="O161" i="1"/>
  <c r="N161" i="1" s="1"/>
  <c r="M161" i="1" s="1"/>
  <c r="O160" i="1"/>
  <c r="N160" i="1" s="1"/>
  <c r="M160" i="1" s="1"/>
  <c r="N159" i="1"/>
  <c r="M159" i="1" s="1"/>
  <c r="O158" i="1"/>
  <c r="N158" i="1" s="1"/>
  <c r="M158" i="1" s="1"/>
  <c r="N157" i="1"/>
  <c r="M157" i="1" s="1"/>
  <c r="O156" i="1"/>
  <c r="N156" i="1" s="1"/>
  <c r="M156" i="1" s="1"/>
  <c r="O155" i="1"/>
  <c r="N155" i="1" s="1"/>
  <c r="M155" i="1" s="1"/>
  <c r="N154" i="1"/>
  <c r="M154" i="1" s="1"/>
  <c r="N153" i="1"/>
  <c r="M153" i="1" s="1"/>
  <c r="O152" i="1"/>
  <c r="Q151" i="1"/>
  <c r="P151" i="1"/>
  <c r="O151" i="1"/>
  <c r="N150" i="1"/>
  <c r="M150" i="1" s="1"/>
  <c r="N149" i="1"/>
  <c r="M149" i="1" s="1"/>
  <c r="N148" i="1"/>
  <c r="M148" i="1" s="1"/>
  <c r="N147" i="1"/>
  <c r="M147" i="1" s="1"/>
  <c r="N146" i="1"/>
  <c r="M146" i="1" s="1"/>
  <c r="N145" i="1"/>
  <c r="M145" i="1" s="1"/>
  <c r="N144" i="1"/>
  <c r="M144" i="1" s="1"/>
  <c r="N143" i="1"/>
  <c r="M143" i="1" s="1"/>
  <c r="N142" i="1"/>
  <c r="M142" i="1" s="1"/>
  <c r="N141" i="1"/>
  <c r="M141" i="1" s="1"/>
  <c r="N140" i="1"/>
  <c r="M140" i="1" s="1"/>
  <c r="N139" i="1"/>
  <c r="M139" i="1" s="1"/>
  <c r="N138" i="1"/>
  <c r="M138" i="1" s="1"/>
  <c r="N137" i="1"/>
  <c r="M137" i="1" s="1"/>
  <c r="N136" i="1"/>
  <c r="M136" i="1" s="1"/>
  <c r="N135" i="1"/>
  <c r="M135" i="1" s="1"/>
  <c r="N134" i="1"/>
  <c r="M134" i="1" s="1"/>
  <c r="N133" i="1"/>
  <c r="M133" i="1" s="1"/>
  <c r="N132" i="1"/>
  <c r="M132" i="1" s="1"/>
  <c r="N131" i="1"/>
  <c r="M131" i="1" s="1"/>
  <c r="N130" i="1"/>
  <c r="M130" i="1" s="1"/>
  <c r="N129" i="1"/>
  <c r="M129" i="1" s="1"/>
  <c r="N128" i="1"/>
  <c r="M128" i="1" s="1"/>
  <c r="N127" i="1"/>
  <c r="M127" i="1" s="1"/>
  <c r="N126" i="1"/>
  <c r="M126" i="1" s="1"/>
  <c r="N125" i="1"/>
  <c r="M125" i="1" s="1"/>
  <c r="N124" i="1"/>
  <c r="M124" i="1" s="1"/>
  <c r="N123" i="1"/>
  <c r="M123" i="1" s="1"/>
  <c r="N122" i="1"/>
  <c r="M122" i="1" s="1"/>
  <c r="P121" i="1"/>
  <c r="N121" i="1" s="1"/>
  <c r="M121" i="1" s="1"/>
  <c r="N120" i="1"/>
  <c r="M120" i="1" s="1"/>
  <c r="N119" i="1"/>
  <c r="M119" i="1" s="1"/>
  <c r="N118" i="1"/>
  <c r="M118" i="1" s="1"/>
  <c r="N117" i="1"/>
  <c r="M117" i="1" s="1"/>
  <c r="N116" i="1"/>
  <c r="M116" i="1" s="1"/>
  <c r="N115" i="1"/>
  <c r="M115" i="1" s="1"/>
  <c r="N114" i="1"/>
  <c r="M114" i="1" s="1"/>
  <c r="N113" i="1"/>
  <c r="M113" i="1" s="1"/>
  <c r="N112" i="1"/>
  <c r="M112" i="1" s="1"/>
  <c r="N111" i="1"/>
  <c r="M111" i="1" s="1"/>
  <c r="O110" i="1"/>
  <c r="N110" i="1" s="1"/>
  <c r="M110" i="1" s="1"/>
  <c r="O109" i="1"/>
  <c r="N109" i="1" s="1"/>
  <c r="M109" i="1" s="1"/>
  <c r="N108" i="1"/>
  <c r="M108" i="1" s="1"/>
  <c r="O107" i="1"/>
  <c r="N107" i="1" s="1"/>
  <c r="M107" i="1" s="1"/>
  <c r="O106" i="1"/>
  <c r="N106" i="1" s="1"/>
  <c r="M106" i="1" s="1"/>
  <c r="N105" i="1"/>
  <c r="M105" i="1" s="1"/>
  <c r="O104" i="1"/>
  <c r="N104" i="1" s="1"/>
  <c r="M104" i="1" s="1"/>
  <c r="N103" i="1"/>
  <c r="M103" i="1" s="1"/>
  <c r="O102" i="1"/>
  <c r="N102" i="1" s="1"/>
  <c r="M102" i="1" s="1"/>
  <c r="O101" i="1"/>
  <c r="N101" i="1" s="1"/>
  <c r="M101" i="1" s="1"/>
  <c r="O100" i="1"/>
  <c r="N100" i="1" s="1"/>
  <c r="M100" i="1" s="1"/>
  <c r="O99" i="1"/>
  <c r="N99" i="1" s="1"/>
  <c r="M99" i="1" s="1"/>
  <c r="N98" i="1"/>
  <c r="M98" i="1" s="1"/>
  <c r="O97" i="1"/>
  <c r="N97" i="1" s="1"/>
  <c r="M97" i="1" s="1"/>
  <c r="O96" i="1"/>
  <c r="N96" i="1" s="1"/>
  <c r="M96" i="1" s="1"/>
  <c r="N95" i="1"/>
  <c r="M95" i="1" s="1"/>
  <c r="N94" i="1"/>
  <c r="M94" i="1" s="1"/>
  <c r="N93" i="1"/>
  <c r="M93" i="1" s="1"/>
  <c r="N92" i="1"/>
  <c r="M92" i="1" s="1"/>
  <c r="P91" i="1"/>
  <c r="O91" i="1"/>
  <c r="N90" i="1"/>
  <c r="M90" i="1" s="1"/>
  <c r="N89" i="1"/>
  <c r="M89" i="1" s="1"/>
  <c r="N88" i="1"/>
  <c r="M88" i="1" s="1"/>
  <c r="N87" i="1"/>
  <c r="M87" i="1" s="1"/>
  <c r="N86" i="1"/>
  <c r="M86" i="1" s="1"/>
  <c r="N85" i="1"/>
  <c r="M85" i="1" s="1"/>
  <c r="Q84" i="1"/>
  <c r="O84" i="1"/>
  <c r="N84" i="1" s="1"/>
  <c r="O83" i="1"/>
  <c r="N83" i="1" s="1"/>
  <c r="M83" i="1" s="1"/>
  <c r="N82" i="1"/>
  <c r="M82" i="1" s="1"/>
  <c r="N81" i="1"/>
  <c r="M81" i="1" s="1"/>
  <c r="N80" i="1"/>
  <c r="M80" i="1" s="1"/>
  <c r="O79" i="1"/>
  <c r="N79" i="1" s="1"/>
  <c r="M79" i="1" s="1"/>
  <c r="N78" i="1"/>
  <c r="M78" i="1" s="1"/>
  <c r="O77" i="1"/>
  <c r="N77" i="1" s="1"/>
  <c r="M77" i="1" s="1"/>
  <c r="O76" i="1"/>
  <c r="N76" i="1" s="1"/>
  <c r="M76" i="1" s="1"/>
  <c r="N75" i="1"/>
  <c r="M75" i="1" s="1"/>
  <c r="O74" i="1"/>
  <c r="N74" i="1" s="1"/>
  <c r="M74" i="1" s="1"/>
  <c r="N73" i="1"/>
  <c r="M73" i="1" s="1"/>
  <c r="N72" i="1"/>
  <c r="M72" i="1" s="1"/>
  <c r="N71" i="1"/>
  <c r="M71" i="1" s="1"/>
  <c r="N70" i="1"/>
  <c r="M70" i="1" s="1"/>
  <c r="N69" i="1"/>
  <c r="M69" i="1" s="1"/>
  <c r="N68" i="1"/>
  <c r="M68" i="1" s="1"/>
  <c r="N67" i="1"/>
  <c r="M67" i="1" s="1"/>
  <c r="N66" i="1"/>
  <c r="M66" i="1" s="1"/>
  <c r="O65" i="1"/>
  <c r="N65" i="1" s="1"/>
  <c r="M65" i="1" s="1"/>
  <c r="N64" i="1"/>
  <c r="M64" i="1" s="1"/>
  <c r="O63" i="1"/>
  <c r="N63" i="1" s="1"/>
  <c r="M63" i="1" s="1"/>
  <c r="N62" i="1"/>
  <c r="M62" i="1" s="1"/>
  <c r="O61" i="1"/>
  <c r="N61" i="1" s="1"/>
  <c r="M61" i="1" s="1"/>
  <c r="N60" i="1"/>
  <c r="M60" i="1" s="1"/>
  <c r="O59" i="1"/>
  <c r="N59" i="1" s="1"/>
  <c r="M59" i="1" s="1"/>
  <c r="Q58" i="1"/>
  <c r="P58" i="1"/>
  <c r="O58" i="1"/>
  <c r="N57" i="1"/>
  <c r="M57" i="1" s="1"/>
  <c r="P56" i="1"/>
  <c r="O56" i="1"/>
  <c r="N55" i="1"/>
  <c r="M55" i="1" s="1"/>
  <c r="N54" i="1"/>
  <c r="M54" i="1" s="1"/>
  <c r="N53" i="1"/>
  <c r="M53" i="1" s="1"/>
  <c r="N52" i="1"/>
  <c r="M52" i="1" s="1"/>
  <c r="N51" i="1"/>
  <c r="M51" i="1" s="1"/>
  <c r="P50" i="1"/>
  <c r="O50" i="1"/>
  <c r="P49" i="1"/>
  <c r="O49" i="1"/>
  <c r="N48" i="1"/>
  <c r="M48" i="1" s="1"/>
  <c r="N47" i="1"/>
  <c r="M47" i="1" s="1"/>
  <c r="N46" i="1"/>
  <c r="M46" i="1" s="1"/>
  <c r="N45" i="1"/>
  <c r="M45" i="1" s="1"/>
  <c r="N44" i="1"/>
  <c r="M44" i="1" s="1"/>
  <c r="N43" i="1"/>
  <c r="M43" i="1" s="1"/>
  <c r="N42" i="1"/>
  <c r="M42" i="1" s="1"/>
  <c r="N41" i="1"/>
  <c r="M41" i="1" s="1"/>
  <c r="P40" i="1"/>
  <c r="O40" i="1"/>
  <c r="P39" i="1"/>
  <c r="O39" i="1"/>
  <c r="P38" i="1"/>
  <c r="O38" i="1"/>
  <c r="P37" i="1"/>
  <c r="O37" i="1"/>
  <c r="P36" i="1"/>
  <c r="O36" i="1"/>
  <c r="N35" i="1"/>
  <c r="M35" i="1" s="1"/>
  <c r="O34" i="1"/>
  <c r="N34" i="1" s="1"/>
  <c r="M34" i="1" s="1"/>
  <c r="P33" i="1"/>
  <c r="O33" i="1"/>
  <c r="P32" i="1"/>
  <c r="O32" i="1"/>
  <c r="P31" i="1"/>
  <c r="O31" i="1"/>
  <c r="P30" i="1"/>
  <c r="O30" i="1"/>
  <c r="N29" i="1"/>
  <c r="M29" i="1" s="1"/>
  <c r="P28" i="1"/>
  <c r="O28" i="1"/>
  <c r="P27" i="1"/>
  <c r="O27" i="1"/>
  <c r="P26" i="1"/>
  <c r="O26" i="1"/>
  <c r="P25" i="1"/>
  <c r="O25" i="1"/>
  <c r="N24" i="1"/>
  <c r="M24" i="1" s="1"/>
  <c r="P23" i="1"/>
  <c r="N23" i="1" s="1"/>
  <c r="M23" i="1" s="1"/>
  <c r="N22" i="1"/>
  <c r="M22" i="1" s="1"/>
  <c r="N21" i="1"/>
  <c r="M21" i="1" s="1"/>
  <c r="O20" i="1"/>
  <c r="N20" i="1" s="1"/>
  <c r="M20" i="1" s="1"/>
  <c r="O19" i="1"/>
  <c r="O179" i="1" s="1"/>
  <c r="P18" i="1"/>
  <c r="O18" i="1"/>
  <c r="N17" i="1"/>
  <c r="M17" i="1" s="1"/>
  <c r="N16" i="1"/>
  <c r="M16" i="1" s="1"/>
  <c r="P15" i="1"/>
  <c r="N15" i="1" s="1"/>
  <c r="M15" i="1" s="1"/>
  <c r="N14" i="1"/>
  <c r="M14" i="1" s="1"/>
  <c r="N13" i="1"/>
  <c r="M13" i="1" s="1"/>
  <c r="N12" i="1"/>
  <c r="M12" i="1" s="1"/>
  <c r="P11" i="1"/>
  <c r="N11" i="1" s="1"/>
  <c r="M11" i="1" s="1"/>
  <c r="N10" i="1"/>
  <c r="M10" i="1" s="1"/>
  <c r="N9" i="1"/>
  <c r="M9" i="1" s="1"/>
  <c r="O8" i="1"/>
  <c r="N8" i="1" s="1"/>
  <c r="M8" i="1" s="1"/>
  <c r="N7" i="1"/>
  <c r="M7" i="1" s="1"/>
  <c r="P6" i="1"/>
  <c r="N27" i="1" l="1"/>
  <c r="M27" i="1" s="1"/>
  <c r="N91" i="1"/>
  <c r="M91" i="1" s="1"/>
  <c r="N40" i="1"/>
  <c r="M40" i="1" s="1"/>
  <c r="N18" i="1"/>
  <c r="M18" i="1" s="1"/>
  <c r="N28" i="1"/>
  <c r="M28" i="1" s="1"/>
  <c r="N32" i="1"/>
  <c r="M32" i="1" s="1"/>
  <c r="N56" i="1"/>
  <c r="M56" i="1" s="1"/>
  <c r="M84" i="1"/>
  <c r="N26" i="1"/>
  <c r="M26" i="1" s="1"/>
  <c r="N37" i="1"/>
  <c r="M37" i="1" s="1"/>
  <c r="N33" i="1"/>
  <c r="M33" i="1" s="1"/>
  <c r="N39" i="1"/>
  <c r="M39" i="1" s="1"/>
  <c r="N58" i="1"/>
  <c r="M58" i="1" s="1"/>
  <c r="N38" i="1"/>
  <c r="M38" i="1" s="1"/>
  <c r="N50" i="1"/>
  <c r="M50" i="1" s="1"/>
  <c r="Q176" i="1"/>
  <c r="N151" i="1"/>
  <c r="M151" i="1" s="1"/>
  <c r="N36" i="1"/>
  <c r="M36" i="1" s="1"/>
  <c r="P176" i="1"/>
  <c r="N25" i="1"/>
  <c r="M25" i="1" s="1"/>
  <c r="N30" i="1"/>
  <c r="M30" i="1" s="1"/>
  <c r="N19" i="1"/>
  <c r="M19" i="1" s="1"/>
  <c r="O176" i="1"/>
  <c r="N49" i="1"/>
  <c r="M49" i="1" s="1"/>
  <c r="N6" i="1"/>
  <c r="N31" i="1"/>
  <c r="M31" i="1" s="1"/>
  <c r="N152" i="1"/>
  <c r="M152" i="1" s="1"/>
  <c r="N176" i="1" l="1"/>
  <c r="M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Leonardo Segundo Villamil Huertas</author>
  </authors>
  <commentList>
    <comment ref="O19" authorId="0" shapeId="0" xr:uid="{3C1AC85E-580C-42E1-9841-64E2FD252B49}">
      <text>
        <r>
          <rPr>
            <b/>
            <sz val="9"/>
            <color indexed="81"/>
            <rFont val="Tahoma"/>
            <family val="2"/>
          </rPr>
          <t>Lucy Gonzalez Rodriguez:</t>
        </r>
        <r>
          <rPr>
            <sz val="9"/>
            <color indexed="81"/>
            <rFont val="Tahoma"/>
            <family val="2"/>
          </rPr>
          <t xml:space="preserve">
Recursos de Inversión</t>
        </r>
      </text>
    </comment>
    <comment ref="P19" authorId="0" shapeId="0" xr:uid="{6633B0BA-9454-4315-9289-8E9283346EBF}">
      <text>
        <r>
          <rPr>
            <b/>
            <sz val="9"/>
            <color indexed="81"/>
            <rFont val="Tahoma"/>
            <family val="2"/>
          </rPr>
          <t>Lucy Gonzalez Rodriguez:</t>
        </r>
        <r>
          <rPr>
            <sz val="9"/>
            <color indexed="81"/>
            <rFont val="Tahoma"/>
            <family val="2"/>
          </rPr>
          <t xml:space="preserve">
Recursos de Inversión</t>
        </r>
      </text>
    </comment>
    <comment ref="Q28" authorId="1" shapeId="0" xr:uid="{C9180100-2755-48DB-AA1C-C39ACCC638F0}">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Q30" authorId="1" shapeId="0" xr:uid="{29C0458A-E082-4C30-9699-801BCFBD6E4F}">
      <text>
        <r>
          <rPr>
            <b/>
            <sz val="9"/>
            <color indexed="81"/>
            <rFont val="Tahoma"/>
            <family val="2"/>
          </rPr>
          <t>Luisa Fernanda Castro Támara:</t>
        </r>
        <r>
          <rPr>
            <sz val="9"/>
            <color indexed="81"/>
            <rFont val="Tahoma"/>
            <family val="2"/>
          </rPr>
          <t xml:space="preserve">
Incremento del 3%
Valor mensual
</t>
        </r>
      </text>
    </comment>
    <comment ref="O50" authorId="2" shapeId="0" xr:uid="{E00AEA0B-632B-4CA6-8FD8-31E99C9D07DF}">
      <text>
        <r>
          <rPr>
            <b/>
            <sz val="9"/>
            <color indexed="81"/>
            <rFont val="Tahoma"/>
            <family val="2"/>
          </rPr>
          <t>Sergio Daniel Perez Pintor:</t>
        </r>
        <r>
          <rPr>
            <sz val="9"/>
            <color indexed="81"/>
            <rFont val="Tahoma"/>
            <family val="2"/>
          </rPr>
          <t xml:space="preserve">
Valor mensual por 12 meses</t>
        </r>
      </text>
    </comment>
    <comment ref="T58" authorId="2" shapeId="0" xr:uid="{34602675-A48D-48EF-8601-B8B4121BBAEC}">
      <text>
        <r>
          <rPr>
            <b/>
            <sz val="9"/>
            <color indexed="81"/>
            <rFont val="Tahoma"/>
            <family val="2"/>
          </rPr>
          <t>Sergio Daniel Perez Pintor:</t>
        </r>
        <r>
          <rPr>
            <sz val="9"/>
            <color indexed="81"/>
            <rFont val="Tahoma"/>
            <family val="2"/>
          </rPr>
          <t xml:space="preserve">
Vig 2020 por $5,102,501,873
Vig 2021 por
$5,262,916,643
Vig 2022 por
$3,329,415,090</t>
        </r>
      </text>
    </comment>
    <comment ref="C166" authorId="3" shapeId="0" xr:uid="{9C9F013B-5254-43BD-8C53-5E529F000563}">
      <text>
        <r>
          <rPr>
            <b/>
            <sz val="9"/>
            <color indexed="81"/>
            <rFont val="Tahoma"/>
            <family val="2"/>
          </rPr>
          <t>Leonardo Segundo Villamil Huertas:</t>
        </r>
        <r>
          <rPr>
            <sz val="9"/>
            <color indexed="81"/>
            <rFont val="Tahoma"/>
            <family val="2"/>
          </rPr>
          <t xml:space="preserve">
revisar con claudia</t>
        </r>
      </text>
    </comment>
  </commentList>
</comments>
</file>

<file path=xl/sharedStrings.xml><?xml version="1.0" encoding="utf-8"?>
<sst xmlns="http://schemas.openxmlformats.org/spreadsheetml/2006/main" count="2846" uniqueCount="495">
  <si>
    <t>Tabla de Consolidación de necesidades por Dependencia - Plan Anual de Adquisiciones 2020</t>
  </si>
  <si>
    <t>Dependencia Responsable (Selección la que corresponde)</t>
  </si>
  <si>
    <t>Código UNSPSC (cada código separado por ;)</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</si>
  <si>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</si>
  <si>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</si>
  <si>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</si>
  <si>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</si>
  <si>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</si>
  <si>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</si>
  <si>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</si>
  <si>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</si>
  <si>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</si>
  <si>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</si>
  <si>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</si>
  <si>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</si>
  <si>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</si>
  <si>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</si>
  <si>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</si>
  <si>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</si>
  <si>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</si>
  <si>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</si>
  <si>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Valor de la VGF por tramitar</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</si>
  <si>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</si>
  <si>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</si>
  <si>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</si>
  <si>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</si>
  <si>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</si>
  <si>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</si>
  <si>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</si>
  <si>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</si>
  <si>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</si>
  <si>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</si>
  <si>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</si>
  <si>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t>Junio</t>
  </si>
  <si>
    <t>Meses</t>
  </si>
  <si>
    <t>Contratación Directa</t>
  </si>
  <si>
    <t>Acciones comunitarias para el fortalecimiento del liderazgo y la participación de las mujeres</t>
  </si>
  <si>
    <t>A-03-03-01-001</t>
  </si>
  <si>
    <t>No</t>
  </si>
  <si>
    <t>No aplica</t>
  </si>
  <si>
    <t>Maria del Pilar Ruiz</t>
  </si>
  <si>
    <t>Grupo de Gestión Contractual</t>
  </si>
  <si>
    <t>Bogotá</t>
  </si>
  <si>
    <t>Javier Mauricio Mosquera Lasso</t>
  </si>
  <si>
    <t>4430020 
Ext 10600</t>
  </si>
  <si>
    <t>javiermosquera@reincorporacion.gov.co</t>
  </si>
  <si>
    <t>Recursos por asignar</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</si>
  <si>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</si>
  <si>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</si>
  <si>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</si>
  <si>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</si>
  <si>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</si>
  <si>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</si>
  <si>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</si>
  <si>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</si>
  <si>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</si>
  <si>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</si>
  <si>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</si>
  <si>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</si>
  <si>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</si>
  <si>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</si>
  <si>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</si>
  <si>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</si>
  <si>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</si>
  <si>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t>DPR - Subdirección Territorial - Grupo de Diseño</t>
  </si>
  <si>
    <t>Francine Botero Garnica</t>
  </si>
  <si>
    <t>Contratar procesos de formación y fortalecimiento del capital social para el impulso y participación activa en el proceso de reincorporación, dirigidos a líderes exintegrantes FARC-EP residentes en el territorio nacional</t>
  </si>
  <si>
    <t>Selección Abreviada - Menor Cuantía</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</si>
  <si>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</si>
  <si>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En Tramite</t>
  </si>
  <si>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</si>
  <si>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</si>
  <si>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</si>
  <si>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</si>
  <si>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</si>
  <si>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</si>
  <si>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t>Aunar recursos técnicos, humanos y financieros entre la ARN y OIM para la implementación de mecanismos de fortalecimiento y formación para el sostenimiento económico de la población objeto de atención de la ARN.</t>
  </si>
  <si>
    <t>Abril</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</si>
  <si>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</si>
  <si>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</si>
  <si>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</si>
  <si>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t>DPR - Subdirección Territorial - Equipo de Generación de Ingresos</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</si>
  <si>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</si>
  <si>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</si>
  <si>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Marzo</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</si>
  <si>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</si>
  <si>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</si>
  <si>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</si>
  <si>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</si>
  <si>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</si>
  <si>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</si>
  <si>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Febrero</t>
  </si>
  <si>
    <t>Convenio Unidad Nacional de Protección</t>
  </si>
  <si>
    <t xml:space="preserve">Contrato </t>
  </si>
  <si>
    <t>William Fonseca Flórez</t>
  </si>
  <si>
    <t>DPR - Subdirección Territorial - Grupo de Articulación Territorial</t>
  </si>
  <si>
    <t>Ana María Villamil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</si>
  <si>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</si>
  <si>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</si>
  <si>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</si>
  <si>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</si>
  <si>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</si>
  <si>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</si>
  <si>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</si>
  <si>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t>
    </r>
  </si>
  <si>
    <t>Desarrollo de modelos educativos flexibles para jóvenes y adultos</t>
  </si>
  <si>
    <t>DPR - Subdirección Territorial - Equipo de Enfoque Diferencial</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</si>
  <si>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</si>
  <si>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</si>
  <si>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</si>
  <si>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</si>
  <si>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Adriana López Mesa</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</si>
  <si>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</si>
  <si>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</si>
  <si>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</si>
  <si>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</si>
  <si>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</si>
  <si>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</si>
  <si>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</si>
  <si>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</si>
  <si>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</si>
  <si>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</si>
  <si>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</si>
  <si>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</si>
  <si>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</si>
  <si>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</si>
  <si>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</si>
  <si>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</si>
  <si>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</si>
  <si>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</si>
  <si>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</si>
  <si>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</si>
  <si>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</si>
  <si>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</si>
  <si>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</si>
  <si>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</si>
  <si>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</si>
  <si>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</si>
  <si>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</si>
  <si>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</si>
  <si>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</si>
  <si>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</si>
  <si>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</si>
  <si>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</si>
  <si>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</si>
  <si>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</si>
  <si>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</si>
  <si>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r>
      <rPr>
        <sz val="11"/>
        <color rgb="FFFF0000"/>
        <rFont val="Arial"/>
        <family val="2"/>
      </rPr>
      <t>Servicio de vigilancia y seguridad privada Vigencia para el 2021 - 2022</t>
    </r>
    <r>
      <rPr>
        <sz val="11"/>
        <color theme="1"/>
        <rFont val="Arial"/>
        <family val="2"/>
      </rPr>
      <t xml:space="preserve">
</t>
    </r>
  </si>
  <si>
    <t>Nuevo contrato</t>
  </si>
  <si>
    <t>Agosto</t>
  </si>
  <si>
    <t>Septiembre</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</si>
  <si>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</si>
  <si>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</si>
  <si>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</si>
  <si>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</si>
  <si>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</si>
  <si>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</si>
  <si>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</si>
  <si>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</si>
  <si>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</si>
  <si>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</si>
  <si>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</si>
  <si>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</si>
  <si>
    <t>Selección Abreviada - Acuerdo Marco de Precios</t>
  </si>
  <si>
    <t>Si</t>
  </si>
  <si>
    <t>Solicitadas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</si>
  <si>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</si>
  <si>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t>
    </r>
    <r>
      <rPr>
        <sz val="11"/>
        <color rgb="FFFF0000"/>
        <rFont val="Arial"/>
        <family val="2"/>
      </rPr>
      <t>Vig 01 Ene 2019 - 21 Ago 2020</t>
    </r>
    <r>
      <rPr>
        <sz val="11"/>
        <color theme="1"/>
        <rFont val="Arial"/>
        <family val="2"/>
      </rPr>
      <t xml:space="preserve">) ( </t>
    </r>
    <r>
      <rPr>
        <sz val="11"/>
        <color rgb="FFFF0000"/>
        <rFont val="Arial"/>
        <family val="2"/>
      </rPr>
      <t>22 Ago 2020 - 31 Dic 2020</t>
    </r>
    <r>
      <rPr>
        <sz val="11"/>
        <color theme="1"/>
        <rFont val="Arial"/>
        <family val="2"/>
      </rPr>
      <t>)</t>
    </r>
  </si>
  <si>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</si>
  <si>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</si>
  <si>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</si>
  <si>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</si>
  <si>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</si>
  <si>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</si>
  <si>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t>5932211 
Ext 10601</t>
  </si>
  <si>
    <r>
      <t xml:space="preserve">Adquisición de equipos tecnológicos (Computadores de escritorio) </t>
    </r>
    <r>
      <rPr>
        <b/>
        <sz val="11"/>
        <color theme="1"/>
        <rFont val="Arial"/>
        <family val="2"/>
      </rPr>
      <t>AMP 47891 O.C 1132</t>
    </r>
  </si>
  <si>
    <r>
      <t xml:space="preserve">Adquisición de equipos tecnológicos (Computadores Portatiles) </t>
    </r>
    <r>
      <rPr>
        <b/>
        <sz val="11"/>
        <color theme="1"/>
        <rFont val="Arial"/>
        <family val="2"/>
      </rPr>
      <t>AMP 47893 O.C 1134</t>
    </r>
  </si>
  <si>
    <r>
      <t xml:space="preserve">Adquisición de dispositivos periféricos (Escáner) </t>
    </r>
    <r>
      <rPr>
        <b/>
        <sz val="11"/>
        <color theme="1"/>
        <rFont val="Arial"/>
        <family val="2"/>
      </rPr>
      <t>AMP 47894 O.C 1136</t>
    </r>
  </si>
  <si>
    <r>
      <t xml:space="preserve">Adquisición de dispositivos periféricos (Impresora láser y/o multifuncional) </t>
    </r>
    <r>
      <rPr>
        <b/>
        <sz val="11"/>
        <color theme="1"/>
        <rFont val="Arial"/>
        <family val="2"/>
      </rPr>
      <t>AMP 47895 O.C 1135</t>
    </r>
  </si>
  <si>
    <t xml:space="preserve">Servicio de resguardo y retención de backups históricos a disco </t>
  </si>
  <si>
    <t>Julio</t>
  </si>
  <si>
    <t>Servicios Tecnológicos para la ARN</t>
  </si>
  <si>
    <t>Merly Parra</t>
  </si>
  <si>
    <t>Adquisición de cámaras fotográficas y sus accesorios que requiere la Oficina Asesora de Comunicaciones de la ARN</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</si>
  <si>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</si>
  <si>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</si>
  <si>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</si>
  <si>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Selección Abreviada - Subasta Inversa</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</si>
  <si>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</si>
  <si>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</si>
  <si>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</si>
  <si>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</si>
  <si>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</si>
  <si>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</si>
  <si>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Octubre</t>
  </si>
  <si>
    <t xml:space="preserve">Renovación y/o adquisición de licencias  - Acrobat Professional - para la ARN. </t>
  </si>
  <si>
    <t xml:space="preserve">Adicion N° 1 -Renovación y/o adquisición de licencias - Solarwinds - para la ARN-. </t>
  </si>
  <si>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</si>
  <si>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</si>
  <si>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</si>
  <si>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Comunicaciones unificadas - para la ARN.</t>
  </si>
  <si>
    <t>Adquisición de licencias - Antivirus</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</si>
  <si>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</si>
  <si>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</si>
  <si>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</si>
  <si>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t>Contratación de Servicios de Soporte Microsoft Premier y Conexos</t>
  </si>
  <si>
    <t>Servicio Premier Microsoft  Conexos Licenciamiento</t>
  </si>
  <si>
    <t>A-03-03-01-001 A-03-10-01-002</t>
  </si>
  <si>
    <t>Hernan Lotero
Merly Parra</t>
  </si>
  <si>
    <t xml:space="preserve">Proceso Servicios Tecnológicos - Contrato 1807 del 2018 (Vig 19 Nov 2018 - 31 Jul 2022) (Servicio mesa de ayuda, etc) </t>
  </si>
  <si>
    <t>Aprobadas</t>
  </si>
  <si>
    <t>Servicio de Soporte, capacitación y migración de datos Sharepoint (Vig 01 Ene 2020 - 31 dic 2020) AMP -44643 -Contrato N° 1002 de 2020</t>
  </si>
  <si>
    <t>Hernan Lotero</t>
  </si>
  <si>
    <t>Certificaciones digitales</t>
  </si>
  <si>
    <t>Mínima Cuantía</t>
  </si>
  <si>
    <t>José Zarate</t>
  </si>
  <si>
    <t>Grupo de Talento Humano</t>
  </si>
  <si>
    <t>53101502
53101504
53101802
53101804
53111602
53111604
53111601</t>
  </si>
  <si>
    <t>Dotación de personal</t>
  </si>
  <si>
    <t>A-02-02-01-002</t>
  </si>
  <si>
    <t>MONICA BERNAL VANEGAS</t>
  </si>
  <si>
    <t>TALENTO HUMANO</t>
  </si>
  <si>
    <t>85122201
85121700</t>
  </si>
  <si>
    <t>Contratación de Servicios Médicos Ocupacionales</t>
  </si>
  <si>
    <t>Examenes Médicos Ocupacionales, actividades semana de la salud y vacunación ( exàmenes ingreso, retiro, periódicos)</t>
  </si>
  <si>
    <t>A-02-02-02-009</t>
  </si>
  <si>
    <t>46182200  42171600  42201700   42271600    42271600</t>
  </si>
  <si>
    <t xml:space="preserve">Adquisición de elementos de protección personal, ergonómicos de Oficina y para emergencias para los colaboradores de la ARN - </t>
  </si>
  <si>
    <t>Adquisicion de EPP, elementos ergonómicos</t>
  </si>
  <si>
    <t>A-02-02-01-003-006  A-02-02-01-002-007    A-02-01-01-004-003   A-02-02-01-003-008   A-02-02-01-003-005    A-02-02-01-002-008</t>
  </si>
  <si>
    <t>5932211 
Ext 10602</t>
  </si>
  <si>
    <t>93141506
91101501
49201611</t>
  </si>
  <si>
    <t xml:space="preserve">Servicios de Bienestar Social (Gimnasios) </t>
  </si>
  <si>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</si>
  <si>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</si>
  <si>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</si>
  <si>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</si>
  <si>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</si>
  <si>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</si>
  <si>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</si>
  <si>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t xml:space="preserve">Servicio de Capacitacion para funcionarios de la ARN - Congreso Contratación Estatal </t>
  </si>
  <si>
    <t>5932211 
Ext 10607</t>
  </si>
  <si>
    <t>Servicio de Capacitacion para funcionarios de la ARN - Congreso Derecho Procesal ICDP</t>
  </si>
  <si>
    <t>5932211 
Ext 10608</t>
  </si>
  <si>
    <t>Servicio de Capacitacion para funcionarios de la ARN - Congreso Derecho Disciplinario ICDD</t>
  </si>
  <si>
    <t>Noviembre</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</si>
  <si>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</si>
  <si>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</si>
  <si>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</si>
  <si>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</si>
  <si>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</si>
  <si>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</si>
  <si>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</si>
  <si>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</si>
  <si>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</si>
  <si>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</si>
  <si>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</si>
  <si>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</si>
  <si>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</si>
  <si>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SI</t>
  </si>
  <si>
    <t>5932211 
Ext 10614</t>
  </si>
  <si>
    <r>
      <t xml:space="preserve">Suministro tiquetes aéreos </t>
    </r>
    <r>
      <rPr>
        <b/>
        <sz val="11"/>
        <color theme="1"/>
        <rFont val="Arial"/>
        <family val="2"/>
      </rPr>
      <t>Vigencia para 2021</t>
    </r>
  </si>
  <si>
    <t>Servicio de procesamiento de la nómina de la Entidad Contrato N° 1076 de 2020</t>
  </si>
  <si>
    <t>Soporte Software Gestión Talento Humano</t>
  </si>
  <si>
    <t>A-02-02-02-008</t>
  </si>
  <si>
    <t>42132201                                                                        42131606</t>
  </si>
  <si>
    <t>Adquisición de elementos de Bioseguridad para afrontar la emergencia por COVID-19</t>
  </si>
  <si>
    <t>Adquisición de Elementos de Bioseguridad para afrontar la emergencia por COVID-1</t>
  </si>
  <si>
    <t>A-02-02-01-002-007              A-02-02-01-002-008                               A-02-01-01-004-008-002</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</si>
  <si>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</si>
  <si>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</si>
  <si>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</si>
  <si>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Subdirección Financiera</t>
  </si>
  <si>
    <t>Adquisición de Firmas Digitales SIIF (Token)</t>
  </si>
  <si>
    <t>Adquisición de firmas digitales</t>
  </si>
  <si>
    <t>A-02-02-01-004-005</t>
  </si>
  <si>
    <t>Juan Carlos Herrán Vélez</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</si>
  <si>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</si>
  <si>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</si>
  <si>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</si>
  <si>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</si>
  <si>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</si>
  <si>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</si>
  <si>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</si>
  <si>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</si>
  <si>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</si>
  <si>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</si>
  <si>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</si>
  <si>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</si>
  <si>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</si>
  <si>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</si>
  <si>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</si>
  <si>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</si>
  <si>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</si>
  <si>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</si>
  <si>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</si>
  <si>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</si>
  <si>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t>Centro de contacto Call Center - Vigencia Futura para 2021</t>
  </si>
  <si>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</si>
  <si>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</si>
  <si>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</si>
  <si>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</si>
  <si>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</si>
  <si>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</si>
  <si>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</si>
  <si>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</si>
  <si>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</si>
  <si>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</si>
  <si>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</si>
  <si>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</si>
  <si>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</si>
  <si>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444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</si>
  <si>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</si>
  <si>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</si>
  <si>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Grupo de Almacen e Inventarios</t>
  </si>
  <si>
    <t>Adquisicion de la actualización, soporte y mantenimiento técnico a la licencia Aladino Windows SQL Seerver para la gestión y control de inventarios de los bienes muebles de la Agencia para la Reincorporación y Normalización ARN</t>
  </si>
  <si>
    <t xml:space="preserve">Actualizacion del aplicativo  Aladino </t>
  </si>
  <si>
    <t xml:space="preserve">A-02-02-02-008 </t>
  </si>
  <si>
    <t xml:space="preserve">Sandra Mayerly Avendano Blanco </t>
  </si>
  <si>
    <t>44121600
44121700
44121800
44122100
44122000</t>
  </si>
  <si>
    <t>Suministro de útiles de oficina</t>
  </si>
  <si>
    <t>Suministro de Papeleria ARN
Costos Programa de Reincorporación Económica y social (Administrativo)</t>
  </si>
  <si>
    <t>A-03-03-01-001
A-03-03-01-001</t>
  </si>
  <si>
    <t>Suministro de papelería</t>
  </si>
  <si>
    <t>A-03-03-01-001
A-03-03-01-002</t>
  </si>
  <si>
    <t>Suministro de Tóner</t>
  </si>
  <si>
    <t>Suministro de Papeleria ARN     Costos Programa de Reincorporación Económica y social (Administrativo)</t>
  </si>
  <si>
    <t xml:space="preserve">A-03-03-01-001 </t>
  </si>
  <si>
    <t>Grupo de Gestión Documental</t>
  </si>
  <si>
    <t>Suministro de insumos de archivo</t>
  </si>
  <si>
    <t xml:space="preserve">Compra Insumos Gestión Documental </t>
  </si>
  <si>
    <t>A-02-02-01-003</t>
  </si>
  <si>
    <t xml:space="preserve">41115300 
41115309 
41112215 
41112300 
41112303 
21101800 
21101805 
52141800 
52141533 
60105700 
60105705 
60121100 
60121146_x000B_41112301_x000B_41112222 </t>
  </si>
  <si>
    <t xml:space="preserve">Adquisición de  equipos de monitoreo, herramientas y/o materiales especializados para conservación y/o restauración de los documentos de la ARN. </t>
  </si>
  <si>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</si>
  <si>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</si>
  <si>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</si>
  <si>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</si>
  <si>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</si>
  <si>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rgb="FFFF0000"/>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</si>
  <si>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</si>
  <si>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</si>
  <si>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</si>
  <si>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</si>
  <si>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</si>
  <si>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</si>
  <si>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</si>
  <si>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</si>
  <si>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Contratación para Suministro de Combustible (Vigencia futura del 2020) - Contrato N° 1797 del 2018 (01 Dic 2020 al 31 Dic 2020) y contrato Nuevo</t>
  </si>
  <si>
    <t>Vigencia 2021</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</si>
  <si>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</si>
  <si>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</si>
  <si>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</si>
  <si>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</si>
  <si>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</si>
  <si>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</si>
  <si>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Nuevo contrato Contratación servicio de vehículo Blindado y seguidor Vigencia Futura para 2021 y 2022</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</si>
  <si>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</si>
  <si>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</si>
  <si>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</si>
  <si>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</si>
  <si>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</si>
  <si>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</si>
  <si>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t>
  </si>
  <si>
    <t>Mantenimiento Parque automotor</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</si>
  <si>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</si>
  <si>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</si>
  <si>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</si>
  <si>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</si>
  <si>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</si>
  <si>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</si>
  <si>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</si>
  <si>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95121503
72101508
76101503</t>
  </si>
  <si>
    <r>
      <t xml:space="preserve">Aseo, cafetería y Mantenimiento –Regional 6 y Regional 7 </t>
    </r>
    <r>
      <rPr>
        <b/>
        <sz val="11"/>
        <color theme="1"/>
        <rFont val="Arial"/>
        <family val="2"/>
      </rPr>
      <t>Contrato N° 1112 de 2020-Contrato N° 1113 de 2020</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</si>
  <si>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</si>
  <si>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</si>
  <si>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</si>
  <si>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</si>
  <si>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</si>
  <si>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Alterna Edificio Santander Contrato Nuevo - Vigencia futura Para 2021 - desde 30/11/2020 hasta el 15/12/2020</t>
  </si>
  <si>
    <t>Diciembre</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</si>
  <si>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</si>
  <si>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</si>
  <si>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</si>
  <si>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</si>
  <si>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</si>
  <si>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</si>
  <si>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</si>
  <si>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$64983749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</si>
  <si>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</si>
  <si>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</si>
  <si>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$106971480</t>
  </si>
  <si>
    <t>Contrato de arrendamiento ARN Nueva sede Santander de Quilichao. Contrato N° 1077 de 2020</t>
  </si>
  <si>
    <t>Contrato de arrendamiento ARN URABA (APARTADO) - (16 Dic/19 al 15 Dic 2020) Vigencia Futura del 2020 - Contrato N° 1575 del 2019</t>
  </si>
  <si>
    <t>$53886046</t>
  </si>
  <si>
    <t xml:space="preserve">Contrato de arrendamiento ARN ATLANTICO (BARRANQUILLA) -(16 Dic/19 al 15 Dic 2020) Vigencia Futura del 2020 - Contrato N° 1570 del 2019 </t>
  </si>
  <si>
    <t>$87317073</t>
  </si>
  <si>
    <t>Contrato de arrendamiento ARN BOLIVAR (CARTAGENA) - (16 Dic/19 al 15 Dic 2020) Vigencia Futura del 2020 - Contrato N° 1608 del 2019</t>
  </si>
  <si>
    <t>$166.696.221</t>
  </si>
  <si>
    <t>Contrato de arrendamiento ARN CORDOBA (MONTERIA)- (16 Dic/19 al 15 Dic 2020) Vigencia Futura del 2020 - Contrato N° 1607 del 2019</t>
  </si>
  <si>
    <t>$112.639.406</t>
  </si>
  <si>
    <t>Contrato de arrendamiento ARN CESAR (VALLEDUPAR) -(16 Dic/19 al 15 Dic 2020) Vigencia Futura del 2020 - Contrato N° 1574 del 2019</t>
  </si>
  <si>
    <t>$123831477</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</si>
  <si>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</si>
  <si>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</si>
  <si>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</si>
  <si>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</si>
  <si>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</si>
  <si>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</si>
  <si>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</si>
  <si>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</si>
  <si>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</si>
  <si>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</si>
  <si>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</si>
  <si>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</si>
  <si>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</si>
  <si>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</si>
  <si>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</si>
  <si>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</si>
  <si>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</si>
  <si>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</si>
  <si>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</si>
  <si>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</si>
  <si>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</si>
  <si>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</si>
  <si>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</si>
  <si>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</si>
  <si>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</si>
  <si>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</si>
  <si>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</si>
  <si>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</si>
  <si>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</si>
  <si>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</si>
  <si>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</si>
  <si>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</si>
  <si>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</si>
  <si>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</si>
  <si>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</si>
  <si>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</si>
  <si>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</si>
  <si>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</si>
  <si>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</si>
  <si>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</si>
  <si>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t>27113201              39121321                31211500                 39101500</t>
  </si>
  <si>
    <t xml:space="preserve">Ferreteria </t>
  </si>
  <si>
    <t>Adquisición elementos de Ferreteria</t>
  </si>
  <si>
    <t>72101500
40101701
72151207</t>
  </si>
  <si>
    <t>Compra, instalación y mantenimiento de aires acondicionados y ventiladores</t>
  </si>
  <si>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</si>
  <si>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</si>
  <si>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</si>
  <si>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</si>
  <si>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t>Contratación Seguros de Vehículos de la Entidad OC 47989 de 2020</t>
  </si>
  <si>
    <t>Año</t>
  </si>
  <si>
    <t>Contratación Seguros de la Entidad Poliza todo daño materiales -grupos territoriales-</t>
  </si>
  <si>
    <t>A-02-02-02-007                     A-03-03-01-002</t>
  </si>
  <si>
    <t>Adquisición de dispensadores de Agua - Adquisición de filtros de agua</t>
  </si>
  <si>
    <t>Extintores</t>
  </si>
  <si>
    <t>Rampas portátiles</t>
  </si>
  <si>
    <t>76122304
76122203
76122404                                                                                                                      76121501</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</si>
  <si>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</si>
  <si>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</si>
  <si>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</si>
  <si>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t>Adquisición de contenedores para acopio de respel, así como tapas y canecas de puntos ecológicos existentes, para reemplazo de las actuales que presentan deterioro, para las sedes, grupos territoriales y/o puntos de atención de la ARN,</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</si>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</sst>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quot;$&quot;\ * #,##0_-;_-&quot;$&quot;\ * &quot;-&quot;_-;_-@_-"/>
    <numFmt numFmtId="165" formatCode="_-* #,##0_-;\-* #,##0_-;_-* &quot;-&quot;_-;_-@_-"/>
    <numFmt numFmtId="166" formatCode="&quot;$&quot;\ #,##0"/>
    <numFmt numFmtId="167" formatCode="&quot;$&quot;\ #,##0;[Red]\-&quot;$&quot;\ #,##0"/>
    <numFmt numFmtId="168" formatCode="mmm\-\ yyyy;@"/>
    <numFmt numFmtId="169" formatCode="_-&quot;$&quot;\ * #,##0.00_-;\-&quot;$&quot;\ * #,##0.00_-;_-&quot;$&quot;\ * &quot;-&quot;??_-;_-@_-"/>
    <numFmt numFmtId="170" formatCode="0.0"/>
    <numFmt numFmtId="171" formatCode="[$-F800]dddd\,\ mmmm\ dd\,\ yyyy"/>
  </numFmts>
  <fonts count="21"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sz val="10"/>
      <color rgb="FFFF0000"/>
      <name val="Calibri"/>
      <family val="2"/>
      <scheme val="minor"/>
    </font>
    <font>
      <sz val="11"/>
      <name val="Arial"/>
      <family val="2"/>
    </font>
    <font>
      <b/>
      <sz val="11"/>
      <color rgb="FFFF0000"/>
      <name val="Arial"/>
      <family val="2"/>
    </font>
    <font>
      <sz val="11"/>
      <color rgb="FF00B050"/>
      <name val="Arial"/>
      <family val="2"/>
    </font>
    <font>
      <sz val="11"/>
      <color rgb="FF1F497D"/>
      <name val="Calibri"/>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FFC000"/>
        <bgColor indexed="64"/>
      </patternFill>
    </fill>
    <fill>
      <patternFill patternType="solid">
        <fgColor rgb="FFFFC00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3">
    <xf numFmtId="0" fontId="0" fillId="0" borderId="0"/>
    <xf numFmtId="165" fontId="3" fillId="0" borderId="0" applyFont="0" applyFill="0" applyBorder="0" applyAlignment="0" applyProtection="0"/>
    <xf numFmtId="169"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265">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6"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7"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wrapText="1"/>
      <protection locked="0"/>
    </xf>
    <xf numFmtId="0" fontId="7" fillId="5" borderId="3" xfId="8"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protection locked="0"/>
    </xf>
    <xf numFmtId="49" fontId="7" fillId="5" borderId="3" xfId="7" applyFont="1" applyFill="1" applyBorder="1" applyAlignment="1" applyProtection="1">
      <alignment horizontal="center" vertical="center" wrapText="1"/>
    </xf>
    <xf numFmtId="0" fontId="0" fillId="0" borderId="0" xfId="0" applyAlignment="1">
      <alignment vertical="center"/>
    </xf>
    <xf numFmtId="49" fontId="9" fillId="3" borderId="4" xfId="7" applyFont="1" applyFill="1" applyBorder="1" applyAlignment="1" applyProtection="1">
      <alignment horizontal="center" vertical="center" wrapText="1"/>
      <protection locked="0"/>
    </xf>
    <xf numFmtId="0" fontId="9" fillId="3" borderId="1" xfId="9" applyFont="1" applyFill="1" applyBorder="1" applyAlignment="1">
      <alignment horizontal="center" vertical="center" wrapText="1"/>
    </xf>
    <xf numFmtId="0" fontId="9" fillId="8" borderId="1" xfId="9" applyFont="1" applyFill="1" applyBorder="1" applyAlignment="1">
      <alignment vertical="center" wrapText="1"/>
    </xf>
    <xf numFmtId="14" fontId="10" fillId="8" borderId="1" xfId="9" applyNumberFormat="1" applyFont="1" applyFill="1" applyBorder="1" applyAlignment="1">
      <alignment horizontal="center" vertical="center" wrapText="1"/>
    </xf>
    <xf numFmtId="17" fontId="9" fillId="8" borderId="1" xfId="9" applyNumberFormat="1" applyFont="1" applyFill="1" applyBorder="1" applyAlignment="1">
      <alignment horizontal="center" vertical="center" wrapText="1"/>
    </xf>
    <xf numFmtId="3" fontId="9" fillId="3" borderId="1" xfId="7"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9"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167" fontId="11" fillId="8" borderId="1" xfId="3" applyNumberFormat="1" applyFont="1" applyFill="1" applyBorder="1" applyAlignment="1">
      <alignment horizontal="center" vertical="center" wrapText="1"/>
    </xf>
    <xf numFmtId="49" fontId="9" fillId="3" borderId="1" xfId="7" applyFont="1" applyFill="1" applyBorder="1" applyAlignment="1" applyProtection="1">
      <alignment horizontal="center" vertical="center" wrapText="1"/>
      <protection locked="0"/>
    </xf>
    <xf numFmtId="1" fontId="9" fillId="3" borderId="1" xfId="7" applyNumberFormat="1" applyFont="1" applyFill="1" applyBorder="1" applyAlignment="1" applyProtection="1">
      <alignment horizontal="center" vertical="center" wrapText="1"/>
      <protection locked="0"/>
    </xf>
    <xf numFmtId="49" fontId="13" fillId="3" borderId="1" xfId="5" applyNumberFormat="1" applyFont="1" applyFill="1" applyBorder="1" applyAlignment="1" applyProtection="1">
      <alignment horizontal="left" vertical="center" wrapText="1"/>
    </xf>
    <xf numFmtId="49" fontId="9" fillId="9" borderId="4" xfId="7" applyFont="1" applyFill="1" applyBorder="1" applyAlignment="1" applyProtection="1">
      <alignment horizontal="center" vertical="center" wrapText="1"/>
      <protection locked="0"/>
    </xf>
    <xf numFmtId="0" fontId="9" fillId="9" borderId="1" xfId="9" applyFont="1" applyFill="1" applyBorder="1" applyAlignment="1">
      <alignment horizontal="center" vertical="center" wrapText="1"/>
    </xf>
    <xf numFmtId="0" fontId="9" fillId="10" borderId="1" xfId="9" applyFont="1" applyFill="1" applyBorder="1" applyAlignment="1">
      <alignment vertical="center" wrapText="1"/>
    </xf>
    <xf numFmtId="14" fontId="9" fillId="10" borderId="1" xfId="9" applyNumberFormat="1" applyFont="1" applyFill="1" applyBorder="1" applyAlignment="1">
      <alignment vertical="center" wrapText="1"/>
    </xf>
    <xf numFmtId="14" fontId="14" fillId="10" borderId="1" xfId="9" applyNumberFormat="1" applyFont="1" applyFill="1" applyBorder="1" applyAlignment="1">
      <alignment horizontal="center" vertical="center" wrapText="1"/>
    </xf>
    <xf numFmtId="17" fontId="9" fillId="10" borderId="1" xfId="9" applyNumberFormat="1" applyFont="1" applyFill="1" applyBorder="1" applyAlignment="1">
      <alignment horizontal="center" vertical="center" wrapText="1"/>
    </xf>
    <xf numFmtId="3" fontId="11" fillId="9" borderId="1" xfId="7" applyNumberFormat="1" applyFont="1" applyFill="1" applyBorder="1" applyAlignment="1" applyProtection="1">
      <alignment horizontal="center" vertical="center" wrapText="1"/>
      <protection locked="0"/>
    </xf>
    <xf numFmtId="166" fontId="9" fillId="10" borderId="1" xfId="1" applyNumberFormat="1" applyFont="1" applyFill="1" applyBorder="1" applyAlignment="1">
      <alignment horizontal="center" vertical="center" wrapText="1"/>
    </xf>
    <xf numFmtId="0" fontId="9" fillId="10" borderId="1" xfId="9" applyFont="1" applyFill="1" applyBorder="1" applyAlignment="1">
      <alignment horizontal="center" vertical="center" wrapText="1"/>
    </xf>
    <xf numFmtId="0" fontId="9" fillId="9" borderId="1" xfId="0" applyFont="1" applyFill="1" applyBorder="1" applyAlignment="1">
      <alignment horizontal="justify" vertical="center" wrapText="1"/>
    </xf>
    <xf numFmtId="164" fontId="9" fillId="9" borderId="1" xfId="3" applyFont="1" applyFill="1" applyBorder="1" applyAlignment="1" applyProtection="1">
      <alignment horizontal="center" vertical="center" wrapText="1"/>
      <protection locked="0"/>
    </xf>
    <xf numFmtId="164" fontId="9" fillId="10" borderId="1" xfId="3" applyFont="1" applyFill="1" applyBorder="1" applyAlignment="1">
      <alignment horizontal="center" vertical="center" wrapText="1"/>
    </xf>
    <xf numFmtId="49" fontId="9" fillId="9" borderId="1" xfId="7" applyFont="1" applyFill="1" applyBorder="1" applyAlignment="1" applyProtection="1">
      <alignment horizontal="center" vertical="center" wrapText="1"/>
      <protection locked="0"/>
    </xf>
    <xf numFmtId="1" fontId="9" fillId="9" borderId="1" xfId="7" applyNumberFormat="1" applyFont="1" applyFill="1" applyBorder="1" applyAlignment="1" applyProtection="1">
      <alignment horizontal="center" vertical="center" wrapText="1"/>
      <protection locked="0"/>
    </xf>
    <xf numFmtId="49" fontId="13" fillId="9" borderId="1" xfId="5" applyNumberFormat="1" applyFont="1" applyFill="1" applyBorder="1" applyAlignment="1" applyProtection="1">
      <alignment horizontal="left" vertical="center" wrapText="1"/>
    </xf>
    <xf numFmtId="49" fontId="9" fillId="9" borderId="1" xfId="7" applyFont="1" applyFill="1" applyBorder="1" applyAlignment="1" applyProtection="1">
      <alignment horizontal="center" vertical="center" wrapText="1"/>
    </xf>
    <xf numFmtId="14" fontId="9" fillId="8" borderId="1" xfId="9" applyNumberFormat="1" applyFont="1" applyFill="1" applyBorder="1" applyAlignment="1">
      <alignment vertical="center" wrapText="1"/>
    </xf>
    <xf numFmtId="14" fontId="14" fillId="8" borderId="1" xfId="9" applyNumberFormat="1" applyFont="1" applyFill="1" applyBorder="1" applyAlignment="1">
      <alignment horizontal="center" vertical="center" wrapText="1"/>
    </xf>
    <xf numFmtId="3" fontId="11" fillId="3" borderId="1" xfId="7" applyNumberFormat="1" applyFont="1" applyFill="1" applyBorder="1" applyAlignment="1" applyProtection="1">
      <alignment horizontal="center" vertical="center" wrapText="1"/>
      <protection locked="0"/>
    </xf>
    <xf numFmtId="164" fontId="11" fillId="8" borderId="1" xfId="3" applyFont="1" applyFill="1" applyBorder="1" applyAlignment="1">
      <alignment horizontal="center" vertical="center" wrapText="1"/>
    </xf>
    <xf numFmtId="14" fontId="10" fillId="10" borderId="1" xfId="9" applyNumberFormat="1" applyFont="1" applyFill="1" applyBorder="1" applyAlignment="1">
      <alignment horizontal="center" vertical="center" wrapText="1"/>
    </xf>
    <xf numFmtId="3" fontId="9" fillId="9" borderId="1" xfId="7" applyNumberFormat="1" applyFont="1" applyFill="1" applyBorder="1" applyAlignment="1" applyProtection="1">
      <alignment horizontal="center" vertical="center" wrapText="1"/>
      <protection locked="0"/>
    </xf>
    <xf numFmtId="0" fontId="9" fillId="10" borderId="1" xfId="9" applyFont="1" applyFill="1" applyBorder="1" applyAlignment="1">
      <alignment horizontal="justify" vertical="center" wrapText="1"/>
    </xf>
    <xf numFmtId="0" fontId="9" fillId="9" borderId="1" xfId="7" applyNumberFormat="1" applyFont="1" applyFill="1" applyBorder="1" applyAlignment="1" applyProtection="1">
      <alignment horizontal="center" vertical="center" wrapText="1"/>
      <protection locked="0"/>
    </xf>
    <xf numFmtId="0" fontId="9" fillId="3" borderId="1" xfId="0" applyNumberFormat="1" applyFont="1" applyFill="1" applyBorder="1" applyAlignment="1">
      <alignment horizontal="center" vertical="center" wrapText="1" readingOrder="1"/>
    </xf>
    <xf numFmtId="0" fontId="9" fillId="3" borderId="1" xfId="7" applyNumberFormat="1" applyFont="1" applyFill="1" applyBorder="1" applyAlignment="1" applyProtection="1">
      <alignment horizontal="center" vertical="center" wrapText="1"/>
      <protection locked="0"/>
    </xf>
    <xf numFmtId="0" fontId="11" fillId="8" borderId="1" xfId="9" applyFont="1" applyFill="1" applyBorder="1" applyAlignment="1">
      <alignment horizontal="center" vertical="center" wrapText="1"/>
    </xf>
    <xf numFmtId="49" fontId="9" fillId="11" borderId="4" xfId="7" applyFont="1" applyFill="1" applyBorder="1" applyAlignment="1" applyProtection="1">
      <alignment horizontal="center" vertical="center" wrapText="1"/>
      <protection locked="0"/>
    </xf>
    <xf numFmtId="0" fontId="9" fillId="11" borderId="1" xfId="9" applyFont="1" applyFill="1" applyBorder="1" applyAlignment="1">
      <alignment horizontal="center" vertical="center" wrapText="1"/>
    </xf>
    <xf numFmtId="0" fontId="9" fillId="12" borderId="1" xfId="9" applyFont="1" applyFill="1" applyBorder="1" applyAlignment="1">
      <alignment vertical="center" wrapText="1"/>
    </xf>
    <xf numFmtId="14" fontId="11" fillId="12" borderId="1" xfId="9" applyNumberFormat="1" applyFont="1" applyFill="1" applyBorder="1" applyAlignment="1">
      <alignment horizontal="center" vertical="center" wrapText="1"/>
    </xf>
    <xf numFmtId="49" fontId="9" fillId="11" borderId="1" xfId="7" applyFont="1" applyFill="1" applyBorder="1" applyAlignment="1" applyProtection="1">
      <alignment horizontal="center" vertical="center" wrapText="1"/>
      <protection locked="0"/>
    </xf>
    <xf numFmtId="0" fontId="9" fillId="11" borderId="1" xfId="0" applyNumberFormat="1" applyFont="1" applyFill="1" applyBorder="1" applyAlignment="1">
      <alignment horizontal="center" vertical="center" wrapText="1" readingOrder="1"/>
    </xf>
    <xf numFmtId="0" fontId="9" fillId="11" borderId="1" xfId="7"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lignment horizontal="center" vertical="center" wrapText="1"/>
    </xf>
    <xf numFmtId="0" fontId="11" fillId="12" borderId="1" xfId="9" applyFont="1" applyFill="1" applyBorder="1" applyAlignment="1">
      <alignment horizontal="center" vertical="center" wrapText="1"/>
    </xf>
    <xf numFmtId="0" fontId="9" fillId="11" borderId="1" xfId="0" applyFont="1" applyFill="1" applyBorder="1" applyAlignment="1">
      <alignment horizontal="justify" vertical="center" wrapText="1"/>
    </xf>
    <xf numFmtId="164" fontId="9" fillId="11" borderId="1" xfId="3" applyFont="1" applyFill="1" applyBorder="1" applyAlignment="1" applyProtection="1">
      <alignment horizontal="center" vertical="center" wrapText="1"/>
      <protection locked="0"/>
    </xf>
    <xf numFmtId="164" fontId="9" fillId="12" borderId="1" xfId="3" applyFont="1" applyFill="1" applyBorder="1" applyAlignment="1">
      <alignment horizontal="center" vertical="center" wrapText="1"/>
    </xf>
    <xf numFmtId="164" fontId="9" fillId="11" borderId="1" xfId="3" applyNumberFormat="1" applyFont="1" applyFill="1" applyBorder="1" applyAlignment="1" applyProtection="1">
      <alignment horizontal="center" vertical="center" wrapText="1"/>
      <protection locked="0"/>
    </xf>
    <xf numFmtId="1" fontId="9" fillId="11" borderId="1" xfId="7" applyNumberFormat="1" applyFont="1" applyFill="1" applyBorder="1" applyAlignment="1" applyProtection="1">
      <alignment horizontal="center" vertical="center" wrapText="1"/>
      <protection locked="0"/>
    </xf>
    <xf numFmtId="49" fontId="13" fillId="11" borderId="1" xfId="5" applyNumberFormat="1" applyFont="1" applyFill="1" applyBorder="1" applyAlignment="1" applyProtection="1">
      <alignment horizontal="left" vertical="center" wrapText="1"/>
    </xf>
    <xf numFmtId="0" fontId="9" fillId="8" borderId="1" xfId="9" applyFont="1" applyFill="1" applyBorder="1" applyAlignment="1">
      <alignment horizontal="justify" vertical="center" wrapText="1"/>
    </xf>
    <xf numFmtId="164" fontId="11" fillId="3" borderId="1" xfId="3" applyFont="1" applyFill="1" applyBorder="1" applyAlignment="1" applyProtection="1">
      <alignment horizontal="center" vertical="center" wrapText="1"/>
      <protection locked="0"/>
    </xf>
    <xf numFmtId="14" fontId="9" fillId="12" borderId="1" xfId="9" applyNumberFormat="1" applyFont="1" applyFill="1" applyBorder="1" applyAlignment="1">
      <alignment vertical="center" wrapText="1"/>
    </xf>
    <xf numFmtId="14" fontId="10" fillId="12" borderId="1" xfId="9" applyNumberFormat="1" applyFont="1" applyFill="1" applyBorder="1" applyAlignment="1">
      <alignment horizontal="center" vertical="center" wrapText="1"/>
    </xf>
    <xf numFmtId="17" fontId="9" fillId="12" borderId="1" xfId="9"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164" fontId="11" fillId="11" borderId="1" xfId="3"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9" fillId="12" borderId="1" xfId="9" applyFont="1" applyFill="1" applyBorder="1" applyAlignment="1">
      <alignment horizontal="center" vertical="center" wrapText="1"/>
    </xf>
    <xf numFmtId="0" fontId="9" fillId="12" borderId="1" xfId="9" applyFont="1" applyFill="1" applyBorder="1" applyAlignment="1">
      <alignment horizontal="justify" vertical="center" wrapText="1"/>
    </xf>
    <xf numFmtId="0" fontId="11" fillId="8" borderId="1" xfId="9" applyFont="1" applyFill="1" applyBorder="1" applyAlignment="1">
      <alignment vertical="center" wrapText="1"/>
    </xf>
    <xf numFmtId="0" fontId="11" fillId="11" borderId="1" xfId="7" applyNumberFormat="1" applyFont="1" applyFill="1" applyBorder="1" applyAlignment="1" applyProtection="1">
      <alignment horizontal="center" vertical="center" wrapText="1"/>
      <protection locked="0"/>
    </xf>
    <xf numFmtId="164" fontId="9" fillId="3" borderId="1" xfId="3" applyNumberFormat="1" applyFont="1" applyFill="1" applyBorder="1" applyAlignment="1" applyProtection="1">
      <alignment horizontal="center" vertical="center" wrapText="1"/>
      <protection locked="0"/>
    </xf>
    <xf numFmtId="49" fontId="13" fillId="3" borderId="1" xfId="5" applyNumberFormat="1" applyFont="1" applyFill="1" applyBorder="1" applyAlignment="1" applyProtection="1">
      <alignment horizontal="left" vertical="center"/>
    </xf>
    <xf numFmtId="164" fontId="9" fillId="9" borderId="1" xfId="3" applyNumberFormat="1" applyFont="1" applyFill="1" applyBorder="1" applyAlignment="1" applyProtection="1">
      <alignment horizontal="center" vertical="center" wrapText="1"/>
      <protection locked="0"/>
    </xf>
    <xf numFmtId="49" fontId="13" fillId="9" borderId="1" xfId="5" applyNumberFormat="1" applyFont="1" applyFill="1" applyBorder="1" applyAlignment="1" applyProtection="1">
      <alignment horizontal="left" vertical="center"/>
    </xf>
    <xf numFmtId="0" fontId="9" fillId="9" borderId="1" xfId="9" applyFont="1" applyFill="1" applyBorder="1" applyAlignment="1">
      <alignment vertical="center" wrapText="1"/>
    </xf>
    <xf numFmtId="166" fontId="9" fillId="10" borderId="1" xfId="1"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pplyProtection="1">
      <alignment horizontal="center" vertical="center" wrapText="1"/>
      <protection locked="0"/>
    </xf>
    <xf numFmtId="166" fontId="9" fillId="9" borderId="1" xfId="7" applyNumberFormat="1" applyFont="1" applyFill="1" applyBorder="1" applyAlignment="1" applyProtection="1">
      <alignment horizontal="center" vertical="center" wrapText="1"/>
      <protection locked="0"/>
    </xf>
    <xf numFmtId="164" fontId="11" fillId="9" borderId="1" xfId="3" applyFont="1" applyFill="1" applyBorder="1" applyAlignment="1" applyProtection="1">
      <alignment horizontal="center" vertical="center" wrapText="1"/>
      <protection locked="0"/>
    </xf>
    <xf numFmtId="0" fontId="9" fillId="8" borderId="1" xfId="9" applyNumberFormat="1" applyFont="1" applyFill="1" applyBorder="1" applyAlignment="1">
      <alignment vertical="center" wrapText="1"/>
    </xf>
    <xf numFmtId="17" fontId="11" fillId="8" borderId="1" xfId="9" applyNumberFormat="1" applyFont="1" applyFill="1" applyBorder="1" applyAlignment="1">
      <alignment horizontal="center" vertical="center" wrapText="1"/>
    </xf>
    <xf numFmtId="166" fontId="9" fillId="3" borderId="1" xfId="7" applyNumberFormat="1" applyFont="1" applyFill="1" applyBorder="1" applyAlignment="1" applyProtection="1">
      <alignment horizontal="center" vertical="center" wrapText="1"/>
      <protection locked="0"/>
    </xf>
    <xf numFmtId="0" fontId="7" fillId="8" borderId="1" xfId="9" applyFont="1" applyFill="1" applyBorder="1" applyAlignment="1">
      <alignment vertical="center" wrapText="1"/>
    </xf>
    <xf numFmtId="0" fontId="9" fillId="10" borderId="1" xfId="9" applyFont="1" applyFill="1" applyBorder="1" applyAlignment="1">
      <alignment horizontal="center" vertical="center"/>
    </xf>
    <xf numFmtId="0" fontId="9" fillId="9" borderId="1" xfId="0" applyNumberFormat="1" applyFont="1" applyFill="1" applyBorder="1" applyAlignment="1">
      <alignment horizontal="center" vertical="center" wrapText="1" readingOrder="1"/>
    </xf>
    <xf numFmtId="166" fontId="7" fillId="9" borderId="1" xfId="7" applyNumberFormat="1" applyFont="1" applyFill="1" applyBorder="1" applyAlignment="1" applyProtection="1">
      <alignment horizontal="center" vertical="center" wrapText="1"/>
      <protection locked="0"/>
    </xf>
    <xf numFmtId="0" fontId="9" fillId="8" borderId="1" xfId="9" applyFont="1" applyFill="1" applyBorder="1" applyAlignment="1">
      <alignment horizontal="center" vertical="center"/>
    </xf>
    <xf numFmtId="166" fontId="7" fillId="3" borderId="1" xfId="7" applyNumberFormat="1" applyFont="1" applyFill="1" applyBorder="1" applyAlignment="1" applyProtection="1">
      <alignment horizontal="center" vertical="center" wrapText="1"/>
      <protection locked="0"/>
    </xf>
    <xf numFmtId="49" fontId="9" fillId="9" borderId="1" xfId="7" applyNumberFormat="1" applyFont="1" applyFill="1" applyBorder="1" applyAlignment="1">
      <alignment horizontal="center" vertical="center" wrapText="1"/>
    </xf>
    <xf numFmtId="0" fontId="9" fillId="9" borderId="1" xfId="7" applyNumberFormat="1" applyFont="1" applyFill="1" applyBorder="1" applyAlignment="1" applyProtection="1">
      <alignment horizontal="center" vertical="center"/>
      <protection locked="0"/>
    </xf>
    <xf numFmtId="166" fontId="9" fillId="9" borderId="1" xfId="7" applyNumberFormat="1" applyFont="1" applyFill="1" applyBorder="1" applyAlignment="1">
      <alignment horizontal="center" vertical="center" wrapText="1"/>
    </xf>
    <xf numFmtId="49" fontId="9" fillId="3" borderId="1" xfId="7"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protection locked="0"/>
    </xf>
    <xf numFmtId="166" fontId="9" fillId="3" borderId="1" xfId="7" applyNumberFormat="1" applyFont="1" applyFill="1" applyBorder="1" applyAlignment="1">
      <alignment horizontal="center" vertical="center" wrapText="1"/>
    </xf>
    <xf numFmtId="168" fontId="9" fillId="8" borderId="1" xfId="9" applyNumberFormat="1" applyFont="1" applyFill="1" applyBorder="1" applyAlignment="1">
      <alignment horizontal="center" vertical="center" wrapText="1"/>
    </xf>
    <xf numFmtId="49" fontId="11" fillId="3" borderId="1" xfId="7" applyFont="1" applyFill="1" applyBorder="1" applyAlignment="1" applyProtection="1">
      <alignment horizontal="center" vertical="center" wrapText="1"/>
      <protection locked="0"/>
    </xf>
    <xf numFmtId="0" fontId="9" fillId="12" borderId="1" xfId="9" applyFont="1" applyFill="1" applyBorder="1" applyAlignment="1">
      <alignment horizontal="center" vertical="center"/>
    </xf>
    <xf numFmtId="49" fontId="9" fillId="11" borderId="1" xfId="7" applyNumberFormat="1" applyFont="1" applyFill="1" applyBorder="1" applyAlignment="1">
      <alignment horizontal="center" vertical="center" wrapText="1"/>
    </xf>
    <xf numFmtId="0" fontId="9" fillId="11" borderId="1" xfId="7" applyNumberFormat="1" applyFont="1" applyFill="1" applyBorder="1" applyAlignment="1" applyProtection="1">
      <alignment horizontal="center" vertical="center"/>
      <protection locked="0"/>
    </xf>
    <xf numFmtId="166" fontId="9" fillId="11" borderId="1" xfId="7" applyNumberFormat="1" applyFont="1" applyFill="1" applyBorder="1" applyAlignment="1">
      <alignment horizontal="center" vertical="center" wrapText="1"/>
    </xf>
    <xf numFmtId="166" fontId="7" fillId="11" borderId="1" xfId="7" applyNumberFormat="1" applyFont="1" applyFill="1" applyBorder="1" applyAlignment="1" applyProtection="1">
      <alignment horizontal="center" vertical="center" wrapText="1"/>
      <protection locked="0"/>
    </xf>
    <xf numFmtId="49" fontId="13" fillId="11" borderId="1" xfId="5" applyNumberFormat="1" applyFont="1" applyFill="1" applyBorder="1" applyAlignment="1" applyProtection="1">
      <alignment horizontal="left" vertical="center"/>
    </xf>
    <xf numFmtId="0" fontId="9" fillId="3" borderId="1" xfId="9" applyFont="1" applyFill="1" applyBorder="1" applyAlignment="1">
      <alignment vertical="center" wrapText="1"/>
    </xf>
    <xf numFmtId="0" fontId="9" fillId="3" borderId="1" xfId="0" applyFont="1" applyFill="1" applyBorder="1" applyAlignment="1">
      <alignment vertical="center" wrapText="1"/>
    </xf>
    <xf numFmtId="166" fontId="9" fillId="11" borderId="1" xfId="7" applyNumberFormat="1" applyFont="1" applyFill="1" applyBorder="1" applyAlignment="1" applyProtection="1">
      <alignment horizontal="center" vertical="center" wrapText="1"/>
      <protection locked="0"/>
    </xf>
    <xf numFmtId="0" fontId="0" fillId="0" borderId="0" xfId="0" applyFill="1" applyAlignment="1">
      <alignment vertical="center"/>
    </xf>
    <xf numFmtId="168" fontId="9" fillId="3" borderId="1" xfId="9" applyNumberFormat="1" applyFont="1" applyFill="1" applyBorder="1" applyAlignment="1">
      <alignment horizontal="center" vertical="center" wrapText="1"/>
    </xf>
    <xf numFmtId="164" fontId="9" fillId="3" borderId="1" xfId="3" applyNumberFormat="1" applyFont="1" applyFill="1" applyBorder="1" applyAlignment="1">
      <alignment horizontal="center" vertical="center" wrapText="1"/>
    </xf>
    <xf numFmtId="168" fontId="9" fillId="9" borderId="1" xfId="9" applyNumberFormat="1" applyFont="1" applyFill="1" applyBorder="1" applyAlignment="1">
      <alignment horizontal="center" vertical="center" wrapText="1"/>
    </xf>
    <xf numFmtId="164" fontId="7" fillId="9" borderId="1" xfId="3"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0" fontId="9" fillId="11" borderId="1" xfId="9" applyFont="1" applyFill="1" applyBorder="1" applyAlignment="1">
      <alignment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9" fillId="9" borderId="1" xfId="0" applyNumberFormat="1" applyFont="1" applyFill="1" applyBorder="1" applyAlignment="1">
      <alignment horizontal="left" vertical="center" wrapText="1" readingOrder="1"/>
    </xf>
    <xf numFmtId="164" fontId="9" fillId="9" borderId="1" xfId="3" applyFont="1" applyFill="1" applyBorder="1" applyAlignment="1">
      <alignment horizontal="center" vertical="center" wrapText="1"/>
    </xf>
    <xf numFmtId="0" fontId="9" fillId="9" borderId="1" xfId="0" applyFont="1" applyFill="1" applyBorder="1" applyAlignment="1">
      <alignment horizontal="center" vertical="center"/>
    </xf>
    <xf numFmtId="0" fontId="9" fillId="9" borderId="1" xfId="0" applyFont="1" applyFill="1" applyBorder="1" applyAlignment="1">
      <alignment vertical="center"/>
    </xf>
    <xf numFmtId="164" fontId="9" fillId="9" borderId="1" xfId="3" applyFont="1" applyFill="1" applyBorder="1" applyAlignment="1">
      <alignment vertical="center"/>
    </xf>
    <xf numFmtId="165" fontId="9" fillId="9" borderId="1" xfId="0" applyNumberFormat="1" applyFont="1" applyFill="1" applyBorder="1" applyAlignment="1">
      <alignment vertical="center"/>
    </xf>
    <xf numFmtId="0" fontId="13" fillId="9" borderId="1" xfId="5" applyFont="1" applyFill="1" applyBorder="1" applyAlignment="1" applyProtection="1">
      <alignment vertical="center"/>
    </xf>
    <xf numFmtId="0" fontId="0" fillId="7" borderId="0" xfId="0" applyFill="1" applyBorder="1" applyAlignment="1">
      <alignment vertical="center"/>
    </xf>
    <xf numFmtId="0" fontId="9" fillId="11" borderId="1" xfId="0" applyFont="1" applyFill="1" applyBorder="1" applyAlignment="1">
      <alignment vertical="center" wrapText="1"/>
    </xf>
    <xf numFmtId="1" fontId="9" fillId="11" borderId="1" xfId="0" applyNumberFormat="1" applyFont="1" applyFill="1" applyBorder="1" applyAlignment="1">
      <alignment horizontal="center" vertical="center" wrapText="1" readingOrder="1"/>
    </xf>
    <xf numFmtId="0" fontId="9" fillId="11" borderId="1" xfId="0" applyNumberFormat="1" applyFont="1" applyFill="1" applyBorder="1" applyAlignment="1">
      <alignment horizontal="left" vertical="center" wrapText="1" readingOrder="1"/>
    </xf>
    <xf numFmtId="164" fontId="9" fillId="11" borderId="1" xfId="3" applyFont="1" applyFill="1" applyBorder="1" applyAlignment="1">
      <alignment horizontal="center" vertical="center" wrapText="1"/>
    </xf>
    <xf numFmtId="0" fontId="9" fillId="11" borderId="1" xfId="0" applyFont="1" applyFill="1" applyBorder="1" applyAlignment="1">
      <alignment horizontal="center" vertical="center"/>
    </xf>
    <xf numFmtId="0" fontId="9" fillId="11" borderId="1" xfId="0" applyFont="1" applyFill="1" applyBorder="1" applyAlignment="1">
      <alignment vertical="center"/>
    </xf>
    <xf numFmtId="164" fontId="9" fillId="11" borderId="1" xfId="3" applyFont="1" applyFill="1" applyBorder="1" applyAlignment="1">
      <alignment vertical="center"/>
    </xf>
    <xf numFmtId="165" fontId="9" fillId="11" borderId="1" xfId="0" applyNumberFormat="1" applyFont="1" applyFill="1" applyBorder="1" applyAlignment="1">
      <alignment vertical="center"/>
    </xf>
    <xf numFmtId="0" fontId="13" fillId="11" borderId="1" xfId="5" applyFont="1" applyFill="1" applyBorder="1" applyAlignment="1" applyProtection="1">
      <alignment vertical="center"/>
    </xf>
    <xf numFmtId="0" fontId="11" fillId="11" borderId="1" xfId="0" applyFont="1" applyFill="1" applyBorder="1" applyAlignment="1">
      <alignment horizontal="center" vertical="center" wrapText="1"/>
    </xf>
    <xf numFmtId="0" fontId="9" fillId="11" borderId="1" xfId="0" applyFont="1" applyFill="1" applyBorder="1" applyAlignment="1">
      <alignment horizontal="center"/>
    </xf>
    <xf numFmtId="49" fontId="11" fillId="11" borderId="4" xfId="7" applyFont="1" applyFill="1" applyBorder="1" applyAlignment="1" applyProtection="1">
      <alignment horizontal="center" vertical="center" wrapText="1"/>
      <protection locked="0"/>
    </xf>
    <xf numFmtId="0" fontId="11" fillId="11" borderId="1" xfId="0" applyFont="1" applyFill="1" applyBorder="1" applyAlignment="1">
      <alignment vertical="center" wrapText="1"/>
    </xf>
    <xf numFmtId="14" fontId="14" fillId="12" borderId="1" xfId="9" applyNumberFormat="1" applyFont="1" applyFill="1" applyBorder="1" applyAlignment="1">
      <alignment horizontal="center" vertical="center" wrapText="1"/>
    </xf>
    <xf numFmtId="164" fontId="11" fillId="11" borderId="1" xfId="3" applyFont="1" applyFill="1" applyBorder="1" applyAlignment="1">
      <alignment horizontal="center" vertical="center" wrapText="1" readingOrder="1"/>
    </xf>
    <xf numFmtId="164" fontId="11" fillId="11" borderId="1" xfId="3" applyFont="1" applyFill="1" applyBorder="1" applyAlignment="1">
      <alignment horizontal="center" vertical="center" wrapText="1"/>
    </xf>
    <xf numFmtId="0" fontId="11" fillId="11" borderId="1" xfId="0" applyFont="1" applyFill="1" applyBorder="1" applyAlignment="1">
      <alignment vertical="center"/>
    </xf>
    <xf numFmtId="165" fontId="9" fillId="11" borderId="1" xfId="1" applyFont="1" applyFill="1" applyBorder="1" applyAlignment="1">
      <alignment vertical="center"/>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xf>
    <xf numFmtId="0" fontId="9" fillId="3" borderId="1" xfId="0" applyFont="1" applyFill="1" applyBorder="1" applyAlignment="1">
      <alignment vertical="center"/>
    </xf>
    <xf numFmtId="164" fontId="9" fillId="3" borderId="1" xfId="3" applyFont="1" applyFill="1" applyBorder="1" applyAlignment="1">
      <alignment vertical="center"/>
    </xf>
    <xf numFmtId="0" fontId="9" fillId="3" borderId="1" xfId="0" applyFont="1" applyFill="1" applyBorder="1"/>
    <xf numFmtId="0" fontId="13" fillId="3" borderId="1" xfId="5" applyFont="1" applyFill="1" applyBorder="1" applyAlignment="1" applyProtection="1">
      <alignment vertical="center"/>
    </xf>
    <xf numFmtId="165" fontId="9" fillId="3" borderId="1" xfId="0" applyNumberFormat="1" applyFont="1" applyFill="1" applyBorder="1" applyAlignment="1">
      <alignment vertical="center"/>
    </xf>
    <xf numFmtId="169" fontId="9" fillId="3" borderId="1" xfId="2" applyFont="1" applyFill="1" applyBorder="1" applyAlignment="1">
      <alignment horizontal="center" vertical="center"/>
    </xf>
    <xf numFmtId="0" fontId="9" fillId="3" borderId="1" xfId="0" applyFont="1" applyFill="1" applyBorder="1" applyAlignment="1">
      <alignment horizontal="center" vertical="center"/>
    </xf>
    <xf numFmtId="0" fontId="9" fillId="11" borderId="1" xfId="0" applyFont="1" applyFill="1" applyBorder="1" applyAlignment="1" applyProtection="1">
      <alignment horizontal="center" vertical="center"/>
      <protection locked="0"/>
    </xf>
    <xf numFmtId="169" fontId="9" fillId="11" borderId="1" xfId="2"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0" fontId="9" fillId="9" borderId="1" xfId="0" applyFont="1" applyFill="1" applyBorder="1" applyAlignment="1" applyProtection="1">
      <alignment horizontal="center" vertical="center"/>
      <protection locked="0"/>
    </xf>
    <xf numFmtId="164" fontId="7" fillId="9" borderId="1" xfId="3" applyFont="1" applyFill="1" applyBorder="1" applyAlignment="1">
      <alignment horizontal="center" vertical="center" wrapText="1"/>
    </xf>
    <xf numFmtId="169" fontId="9" fillId="9"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12" borderId="1" xfId="1" applyNumberFormat="1" applyFont="1" applyFill="1" applyBorder="1" applyAlignment="1">
      <alignment horizontal="center" vertical="center" wrapText="1"/>
    </xf>
    <xf numFmtId="49" fontId="13" fillId="11" borderId="1" xfId="5" applyNumberFormat="1" applyFont="1" applyFill="1" applyBorder="1" applyAlignment="1" applyProtection="1">
      <alignment horizontal="center" vertical="center"/>
    </xf>
    <xf numFmtId="0" fontId="9" fillId="9" borderId="1" xfId="8" applyFont="1" applyFill="1" applyBorder="1" applyAlignment="1" applyProtection="1">
      <alignment horizontal="left" vertical="center" wrapText="1"/>
    </xf>
    <xf numFmtId="1" fontId="9" fillId="10" borderId="1" xfId="9" applyNumberFormat="1" applyFont="1" applyFill="1" applyBorder="1" applyAlignment="1">
      <alignment horizontal="center" vertical="center" wrapText="1"/>
    </xf>
    <xf numFmtId="0" fontId="9" fillId="9" borderId="1" xfId="4" applyFont="1" applyFill="1" applyBorder="1" applyAlignment="1">
      <alignment vertical="center"/>
    </xf>
    <xf numFmtId="49" fontId="13" fillId="9" borderId="1" xfId="5" applyNumberFormat="1" applyFont="1" applyFill="1" applyBorder="1" applyAlignment="1" applyProtection="1">
      <alignment horizontal="center" vertical="center"/>
    </xf>
    <xf numFmtId="0" fontId="11" fillId="9" borderId="1" xfId="7" applyNumberFormat="1" applyFont="1" applyFill="1" applyBorder="1" applyAlignment="1" applyProtection="1">
      <alignment horizontal="center" vertical="center" wrapText="1"/>
      <protection locked="0"/>
    </xf>
    <xf numFmtId="17" fontId="9" fillId="8" borderId="1" xfId="9" applyNumberFormat="1" applyFont="1" applyFill="1" applyBorder="1" applyAlignment="1" applyProtection="1">
      <alignment horizontal="center" vertical="center" wrapText="1"/>
    </xf>
    <xf numFmtId="164" fontId="15" fillId="9" borderId="1" xfId="3" applyFont="1" applyFill="1" applyBorder="1" applyAlignment="1" applyProtection="1">
      <alignment horizontal="center" vertical="center" wrapText="1"/>
      <protection locked="0"/>
    </xf>
    <xf numFmtId="17" fontId="9" fillId="12" borderId="1" xfId="9" applyNumberFormat="1" applyFont="1" applyFill="1" applyBorder="1" applyAlignment="1" applyProtection="1">
      <alignment horizontal="center" vertical="center" wrapText="1"/>
    </xf>
    <xf numFmtId="0" fontId="9" fillId="9" borderId="1"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49" fontId="9" fillId="9" borderId="1" xfId="7" applyFont="1" applyFill="1" applyBorder="1" applyAlignment="1" applyProtection="1">
      <alignment horizontal="left" vertical="center" wrapText="1"/>
      <protection locked="0"/>
    </xf>
    <xf numFmtId="0" fontId="9" fillId="10" borderId="1" xfId="10" applyFont="1" applyFill="1" applyBorder="1" applyAlignment="1">
      <alignment horizontal="center" vertical="center" wrapText="1"/>
    </xf>
    <xf numFmtId="0" fontId="9" fillId="11" borderId="1" xfId="0" applyNumberFormat="1" applyFont="1" applyFill="1" applyBorder="1" applyAlignment="1">
      <alignment horizontal="center" vertical="center"/>
    </xf>
    <xf numFmtId="166" fontId="9" fillId="12" borderId="1" xfId="1" applyNumberFormat="1" applyFont="1" applyFill="1" applyBorder="1" applyAlignment="1" applyProtection="1">
      <alignment horizontal="center" vertical="center" wrapText="1"/>
      <protection locked="0"/>
    </xf>
    <xf numFmtId="0" fontId="9" fillId="12" borderId="1" xfId="10" applyFont="1" applyFill="1" applyBorder="1" applyAlignment="1">
      <alignment horizontal="center" vertical="center" wrapText="1"/>
    </xf>
    <xf numFmtId="0" fontId="9" fillId="8" borderId="1" xfId="10" applyFont="1" applyFill="1" applyBorder="1" applyAlignment="1">
      <alignment horizontal="center" vertical="center" wrapText="1"/>
    </xf>
    <xf numFmtId="14" fontId="9" fillId="10" borderId="1" xfId="9" applyNumberFormat="1" applyFont="1" applyFill="1" applyBorder="1" applyAlignment="1">
      <alignment horizontal="center" vertical="center" wrapText="1"/>
    </xf>
    <xf numFmtId="0" fontId="9" fillId="8" borderId="1" xfId="10" applyFont="1" applyFill="1" applyBorder="1" applyAlignment="1">
      <alignment vertical="center" wrapText="1"/>
    </xf>
    <xf numFmtId="14" fontId="9" fillId="8" borderId="1" xfId="10" applyNumberFormat="1" applyFont="1" applyFill="1" applyBorder="1" applyAlignment="1">
      <alignment vertical="center" wrapText="1"/>
    </xf>
    <xf numFmtId="0" fontId="9" fillId="8" borderId="1" xfId="10" applyFont="1" applyFill="1" applyBorder="1" applyAlignment="1">
      <alignment horizontal="left" vertical="center" wrapText="1"/>
    </xf>
    <xf numFmtId="0" fontId="9" fillId="3" borderId="1" xfId="10" applyFont="1" applyFill="1" applyBorder="1" applyAlignment="1">
      <alignment horizontal="center" vertical="center" wrapText="1"/>
    </xf>
    <xf numFmtId="49" fontId="13" fillId="3" borderId="1" xfId="11" applyNumberFormat="1" applyFont="1" applyFill="1" applyBorder="1" applyAlignment="1" applyProtection="1">
      <alignment horizontal="left" vertical="center"/>
    </xf>
    <xf numFmtId="0" fontId="9" fillId="3" borderId="1" xfId="10" applyFont="1" applyFill="1" applyBorder="1" applyAlignment="1">
      <alignment horizontal="center" vertical="center"/>
    </xf>
    <xf numFmtId="0" fontId="9" fillId="10" borderId="1" xfId="10" applyFont="1" applyFill="1" applyBorder="1" applyAlignment="1">
      <alignment vertical="center" wrapText="1"/>
    </xf>
    <xf numFmtId="14" fontId="9" fillId="10" borderId="1" xfId="10" applyNumberFormat="1" applyFont="1" applyFill="1" applyBorder="1" applyAlignment="1">
      <alignment vertical="center" wrapText="1"/>
    </xf>
    <xf numFmtId="0" fontId="9" fillId="10" borderId="1" xfId="10" applyFont="1" applyFill="1" applyBorder="1" applyAlignment="1">
      <alignment horizontal="left" vertical="center" wrapText="1"/>
    </xf>
    <xf numFmtId="0" fontId="9" fillId="9" borderId="1" xfId="10" applyFont="1" applyFill="1" applyBorder="1" applyAlignment="1">
      <alignment horizontal="center" vertical="center"/>
    </xf>
    <xf numFmtId="49" fontId="13" fillId="9" borderId="1" xfId="11" applyNumberFormat="1" applyFont="1" applyFill="1" applyBorder="1" applyAlignment="1" applyProtection="1">
      <alignment horizontal="left" vertical="center"/>
    </xf>
    <xf numFmtId="17" fontId="9" fillId="8" borderId="1" xfId="10" applyNumberFormat="1" applyFont="1" applyFill="1" applyBorder="1" applyAlignment="1">
      <alignment horizontal="center" vertical="center" wrapText="1"/>
    </xf>
    <xf numFmtId="170" fontId="9" fillId="3" borderId="1" xfId="7" applyNumberFormat="1" applyFont="1" applyFill="1" applyBorder="1" applyAlignment="1" applyProtection="1">
      <alignment horizontal="center" vertical="center" wrapText="1"/>
      <protection locked="0"/>
    </xf>
    <xf numFmtId="0" fontId="9" fillId="3" borderId="1" xfId="10" applyFont="1" applyFill="1" applyBorder="1" applyAlignment="1">
      <alignment vertical="center" wrapText="1"/>
    </xf>
    <xf numFmtId="0" fontId="9" fillId="3" borderId="1" xfId="10" applyFont="1" applyFill="1" applyBorder="1" applyAlignment="1">
      <alignment horizontal="left" vertical="center" wrapText="1"/>
    </xf>
    <xf numFmtId="0" fontId="9" fillId="9" borderId="1" xfId="10" applyFont="1" applyFill="1" applyBorder="1" applyAlignment="1">
      <alignment vertical="center" wrapText="1"/>
    </xf>
    <xf numFmtId="17" fontId="9" fillId="10" borderId="1" xfId="10" applyNumberFormat="1" applyFont="1" applyFill="1" applyBorder="1" applyAlignment="1">
      <alignment horizontal="center" vertical="center" wrapText="1"/>
    </xf>
    <xf numFmtId="170" fontId="9" fillId="9" borderId="1" xfId="7" applyNumberFormat="1" applyFont="1" applyFill="1" applyBorder="1" applyAlignment="1" applyProtection="1">
      <alignment horizontal="center" vertical="center" wrapText="1"/>
      <protection locked="0"/>
    </xf>
    <xf numFmtId="164" fontId="17" fillId="3" borderId="1" xfId="3" applyFont="1" applyFill="1" applyBorder="1" applyAlignment="1" applyProtection="1">
      <alignment horizontal="center" vertical="center" wrapText="1"/>
      <protection locked="0"/>
    </xf>
    <xf numFmtId="0" fontId="9" fillId="12" borderId="1" xfId="10" applyFont="1" applyFill="1" applyBorder="1" applyAlignment="1">
      <alignment vertical="center" wrapText="1"/>
    </xf>
    <xf numFmtId="17" fontId="9" fillId="11" borderId="1" xfId="10" applyNumberFormat="1" applyFont="1" applyFill="1" applyBorder="1" applyAlignment="1">
      <alignment horizontal="center" vertical="center" wrapText="1"/>
    </xf>
    <xf numFmtId="3" fontId="9" fillId="11" borderId="1" xfId="7" applyNumberFormat="1" applyFont="1" applyFill="1" applyBorder="1" applyAlignment="1" applyProtection="1">
      <alignment horizontal="center" vertical="center" wrapText="1"/>
      <protection locked="0"/>
    </xf>
    <xf numFmtId="0" fontId="9" fillId="12" borderId="1" xfId="10" applyFont="1" applyFill="1" applyBorder="1" applyAlignment="1">
      <alignment horizontal="left" vertical="center" wrapText="1"/>
    </xf>
    <xf numFmtId="49" fontId="13" fillId="11" borderId="1" xfId="11" applyNumberFormat="1" applyFont="1" applyFill="1" applyBorder="1" applyAlignment="1" applyProtection="1">
      <alignment horizontal="left" vertical="center"/>
    </xf>
    <xf numFmtId="166" fontId="9" fillId="12" borderId="1" xfId="12" applyNumberFormat="1" applyFont="1" applyFill="1" applyBorder="1" applyAlignment="1">
      <alignment horizontal="center" vertical="center" wrapText="1"/>
    </xf>
    <xf numFmtId="164" fontId="11" fillId="11" borderId="1" xfId="3" applyNumberFormat="1" applyFont="1" applyFill="1" applyBorder="1" applyAlignment="1" applyProtection="1">
      <alignment horizontal="center" vertical="center" wrapText="1"/>
      <protection locked="0"/>
    </xf>
    <xf numFmtId="17" fontId="9" fillId="3" borderId="1" xfId="10" applyNumberFormat="1" applyFont="1" applyFill="1" applyBorder="1" applyAlignment="1">
      <alignment horizontal="center" vertical="center" wrapText="1"/>
    </xf>
    <xf numFmtId="166" fontId="9" fillId="8" borderId="1" xfId="12" applyNumberFormat="1" applyFont="1" applyFill="1" applyBorder="1" applyAlignment="1">
      <alignment horizontal="center" vertical="center" wrapText="1"/>
    </xf>
    <xf numFmtId="164" fontId="11" fillId="3" borderId="1" xfId="3" applyFont="1" applyFill="1" applyBorder="1" applyAlignment="1">
      <alignment horizontal="center" vertical="center" wrapText="1"/>
    </xf>
    <xf numFmtId="0" fontId="9" fillId="11" borderId="1" xfId="10" applyFont="1" applyFill="1" applyBorder="1" applyAlignment="1">
      <alignment horizontal="center" vertical="center" wrapText="1"/>
    </xf>
    <xf numFmtId="168" fontId="9" fillId="12" borderId="1" xfId="9" applyNumberFormat="1" applyFont="1" applyFill="1" applyBorder="1" applyAlignment="1">
      <alignment horizontal="center" vertical="center" wrapText="1"/>
    </xf>
    <xf numFmtId="164" fontId="11" fillId="11" borderId="1" xfId="3" applyFont="1" applyFill="1" applyBorder="1" applyAlignment="1">
      <alignment horizontal="center" vertical="center"/>
    </xf>
    <xf numFmtId="0" fontId="9" fillId="11" borderId="1" xfId="10" applyFont="1" applyFill="1" applyBorder="1" applyAlignment="1">
      <alignment horizontal="center" vertical="center"/>
    </xf>
    <xf numFmtId="164" fontId="9" fillId="11" borderId="1" xfId="3" applyFont="1" applyFill="1" applyBorder="1" applyAlignment="1">
      <alignment horizontal="center" vertical="center"/>
    </xf>
    <xf numFmtId="0" fontId="11" fillId="12" borderId="1" xfId="10" applyFont="1" applyFill="1" applyBorder="1" applyAlignment="1">
      <alignment vertical="center" wrapText="1"/>
    </xf>
    <xf numFmtId="167" fontId="9" fillId="11" borderId="1" xfId="3" applyNumberFormat="1" applyFont="1" applyFill="1" applyBorder="1" applyAlignment="1">
      <alignment horizontal="center" vertical="center" wrapText="1"/>
    </xf>
    <xf numFmtId="167" fontId="9" fillId="11" borderId="1" xfId="3" applyNumberFormat="1" applyFont="1" applyFill="1" applyBorder="1" applyAlignment="1" applyProtection="1">
      <alignment horizontal="center" vertical="center" wrapText="1"/>
      <protection locked="0"/>
    </xf>
    <xf numFmtId="0" fontId="9" fillId="9" borderId="1" xfId="7" applyNumberFormat="1" applyFont="1" applyFill="1" applyBorder="1" applyAlignment="1" applyProtection="1">
      <alignment horizontal="centerContinuous" vertical="center"/>
      <protection locked="0"/>
    </xf>
    <xf numFmtId="3" fontId="9" fillId="9" borderId="1" xfId="7" applyNumberFormat="1" applyFont="1" applyFill="1" applyBorder="1" applyAlignment="1" applyProtection="1">
      <alignment horizontal="right" vertical="center" wrapText="1"/>
      <protection locked="0"/>
    </xf>
    <xf numFmtId="0" fontId="11" fillId="12" borderId="1" xfId="10" applyFont="1" applyFill="1" applyBorder="1" applyAlignment="1">
      <alignment horizontal="left" vertical="center" wrapText="1"/>
    </xf>
    <xf numFmtId="171" fontId="10" fillId="12" borderId="1" xfId="9" applyNumberFormat="1" applyFont="1" applyFill="1" applyBorder="1" applyAlignment="1">
      <alignment horizontal="center" vertical="center" wrapText="1"/>
    </xf>
    <xf numFmtId="0" fontId="11" fillId="12" borderId="1" xfId="9" applyFont="1" applyFill="1" applyBorder="1" applyAlignment="1">
      <alignment vertical="center" wrapText="1"/>
    </xf>
    <xf numFmtId="49" fontId="9" fillId="9" borderId="1" xfId="7" applyFont="1" applyFill="1" applyBorder="1" applyAlignment="1" applyProtection="1">
      <alignment horizontal="center" vertical="center"/>
      <protection locked="0"/>
    </xf>
    <xf numFmtId="49" fontId="9" fillId="11" borderId="1" xfId="7" applyFont="1" applyFill="1" applyBorder="1" applyAlignment="1" applyProtection="1">
      <alignment horizontal="center" vertical="center"/>
      <protection locked="0"/>
    </xf>
    <xf numFmtId="49" fontId="11" fillId="11" borderId="1" xfId="7" applyFont="1" applyFill="1" applyBorder="1" applyAlignment="1" applyProtection="1">
      <alignment horizontal="center" vertical="center"/>
      <protection locked="0"/>
    </xf>
    <xf numFmtId="49" fontId="11" fillId="9" borderId="1" xfId="7" applyFont="1" applyFill="1" applyBorder="1" applyAlignment="1" applyProtection="1">
      <alignment horizontal="center" vertical="center" wrapText="1"/>
      <protection locked="0"/>
    </xf>
    <xf numFmtId="49" fontId="9" fillId="11" borderId="5" xfId="7" applyFont="1" applyFill="1" applyBorder="1" applyAlignment="1" applyProtection="1">
      <alignment horizontal="center" vertical="center" wrapText="1"/>
      <protection locked="0"/>
    </xf>
    <xf numFmtId="0" fontId="9" fillId="12" borderId="6" xfId="9" applyFont="1" applyFill="1" applyBorder="1" applyAlignment="1">
      <alignment horizontal="center" wrapText="1"/>
    </xf>
    <xf numFmtId="0" fontId="9" fillId="12" borderId="6" xfId="9" applyFont="1" applyFill="1" applyBorder="1" applyAlignment="1">
      <alignment vertical="center" wrapText="1"/>
    </xf>
    <xf numFmtId="14" fontId="10" fillId="12" borderId="6" xfId="9" applyNumberFormat="1" applyFont="1" applyFill="1" applyBorder="1" applyAlignment="1">
      <alignment horizontal="center" vertical="center" wrapText="1"/>
    </xf>
    <xf numFmtId="49" fontId="9" fillId="11" borderId="6" xfId="7" applyFont="1" applyFill="1" applyBorder="1" applyAlignment="1" applyProtection="1">
      <alignment horizontal="center" vertical="center" wrapText="1"/>
      <protection locked="0"/>
    </xf>
    <xf numFmtId="0" fontId="9" fillId="11" borderId="6" xfId="0" applyNumberFormat="1" applyFont="1" applyFill="1" applyBorder="1" applyAlignment="1">
      <alignment horizontal="center" vertical="center" wrapText="1" readingOrder="1"/>
    </xf>
    <xf numFmtId="0" fontId="9" fillId="11" borderId="6" xfId="7" applyNumberFormat="1" applyFont="1" applyFill="1" applyBorder="1" applyAlignment="1" applyProtection="1">
      <alignment horizontal="center" vertical="center" wrapText="1"/>
      <protection locked="0"/>
    </xf>
    <xf numFmtId="0" fontId="9" fillId="12" borderId="6" xfId="9" applyFont="1" applyFill="1" applyBorder="1" applyAlignment="1">
      <alignment horizontal="center" vertical="center" wrapText="1"/>
    </xf>
    <xf numFmtId="166" fontId="9" fillId="11" borderId="6" xfId="7" applyNumberFormat="1" applyFont="1" applyFill="1" applyBorder="1" applyAlignment="1" applyProtection="1">
      <alignment horizontal="center" vertical="center" wrapText="1"/>
      <protection locked="0"/>
    </xf>
    <xf numFmtId="164" fontId="9" fillId="11" borderId="6" xfId="3" applyFont="1" applyFill="1" applyBorder="1" applyAlignment="1" applyProtection="1">
      <alignment horizontal="center" vertical="center" wrapText="1"/>
      <protection locked="0"/>
    </xf>
    <xf numFmtId="1" fontId="9" fillId="11" borderId="6" xfId="7" applyNumberFormat="1" applyFont="1" applyFill="1" applyBorder="1" applyAlignment="1" applyProtection="1">
      <alignment horizontal="center" vertical="center" wrapText="1"/>
      <protection locked="0"/>
    </xf>
    <xf numFmtId="49" fontId="13" fillId="11" borderId="6" xfId="5"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0" fillId="0" borderId="0" xfId="0" applyFont="1" applyAlignment="1" applyProtection="1">
      <alignment vertical="center" wrapText="1"/>
      <protection locked="0"/>
    </xf>
    <xf numFmtId="0" fontId="18"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13"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cellXfs>
  <cellStyles count="13">
    <cellStyle name="BodyStyle" xfId="7" xr:uid="{C82BFFD2-F2E0-412F-938D-48C957B7A6C9}"/>
    <cellStyle name="Bueno" xfId="4" builtinId="26"/>
    <cellStyle name="HeaderStyle" xfId="8" xr:uid="{C1B33B0A-0300-4B00-9609-C31DA326D1D0}"/>
    <cellStyle name="Hipervínculo" xfId="5" builtinId="8"/>
    <cellStyle name="Hipervínculo 2" xfId="11" xr:uid="{014D451B-7F61-4205-A7EF-B05B9205010D}"/>
    <cellStyle name="MainTitle" xfId="6" xr:uid="{E33444F4-0BED-43A8-90E1-CC357519D70E}"/>
    <cellStyle name="Millares [0]" xfId="1" builtinId="6"/>
    <cellStyle name="Millares [0] 3" xfId="12" xr:uid="{969687C8-8262-4192-8FE9-35EAAC9D73DB}"/>
    <cellStyle name="Moneda" xfId="2" builtinId="4"/>
    <cellStyle name="Moneda [0]" xfId="3" builtinId="7"/>
    <cellStyle name="Normal" xfId="0" builtinId="0"/>
    <cellStyle name="Normal 2" xfId="9" xr:uid="{685F82CE-72BE-47B5-9817-95DC44E34D90}"/>
    <cellStyle name="Normal 2 2" xfId="10" xr:uid="{6FDA0F8F-7908-4E1C-852B-A7435582A48B}"/>
  </cellStyles>
  <dxfs count="33">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color theme="1"/>
        <name val="Arial"/>
        <scheme val="none"/>
      </font>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72"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HOJA DE CONTROL"/>
      <sheetName val="Adquisiciones 2020"/>
      <sheetName val="Tabla dinamica PAA ARN 2019"/>
      <sheetName val="Hoja1"/>
      <sheetName val="Listas"/>
      <sheetName val="Plan de Adquisiciones ARN 2020 "/>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0BAA9-64A6-476B-B93B-9701A2495E14}" name="Tabla1" displayName="Tabla1" ref="A5:AB175" totalsRowShown="0" headerRowDxfId="32" dataDxfId="30" headerRowBorderDxfId="31" tableBorderDxfId="29" totalsRowBorderDxfId="28" headerRowCellStyle="BodyStyle" dataCellStyle="BodyStyle">
  <autoFilter ref="A5:AB175" xr:uid="{2034EC0D-FD8C-4126-9C63-8449CE21BD15}"/>
  <tableColumns count="28">
    <tableColumn id="1" xr3:uid="{95DF4780-995A-4ED3-8E7B-225F50B2D4F4}" name="Dependencia Responsable (Selección la que corresponde)" dataDxfId="27" dataCellStyle="BodyStyle"/>
    <tableColumn id="2" xr3:uid="{85BEFAA6-E127-48F1-B1B9-CBCF4A6C253C}" name="Código UNSPSC (cada código separado por ;)" dataDxfId="26" dataCellStyle="Normal 2"/>
    <tableColumn id="3" xr3:uid="{6FB68ECC-794F-4023-AC12-6543D3433957}" name="Descripción (bien o servicio requerido a contratar)" dataDxfId="25" dataCellStyle="Normal 2"/>
    <tableColumn id="25" xr3:uid="{9BA7099D-7B1B-446C-BFB6-85197364B87F}" name="Fecha Terminación en 2020 de los _x000a_Contratos Vf del 2018, 2019 " dataDxfId="24" dataCellStyle="Normal 2"/>
    <tableColumn id="4" xr3:uid="{6ADF990E-88E7-413B-910F-26C8FF3A6AA0}" name="Fecha estimada de radicación en el GGC para iniciar Estudio de Mercado" dataDxfId="23" dataCellStyle="Normal 2"/>
    <tableColumn id="5" xr3:uid="{0D4CC309-6F5B-4F86-B0E3-B0D25443E8FC}" name="Fecha (mes) estimada de inicio de proceso de selección (Publicación Proyecto Pliego)" dataDxfId="22" dataCellStyle="Normal 2"/>
    <tableColumn id="6" xr3:uid="{5F3E7600-5114-42F1-968C-A11ABEC4CBBF}" name="Fecha (mes)  estimada de presentación de ofertas (Cierre del proceso)" dataDxfId="21" dataCellStyle="Normal 2"/>
    <tableColumn id="7" xr3:uid="{5BC06E26-42F8-4169-BCB5-F9F86CA791A7}" name="Duración estimada del contrato (número de Meses o días)" dataDxfId="20"/>
    <tableColumn id="8" xr3:uid="{6D6F8A10-9E57-402B-AB75-B8F7E6C71F1B}" name="Duración estimada del contrato (intervalo: días, Meses, años)" dataDxfId="19" dataCellStyle="Millares [0]"/>
    <tableColumn id="9" xr3:uid="{10664BFC-B5C6-47DA-ADB0-87A65D7D32A5}" name="Modalidad de selección (seleccione)" dataDxfId="18" dataCellStyle="Normal 2"/>
    <tableColumn id="10" xr3:uid="{83DE9120-5979-4E58-9649-56070C29AA1A}" name="Descripción de la Actividad (según clasificación del presupuesto)" dataDxfId="17" dataCellStyle="BodyStyle"/>
    <tableColumn id="11" xr3:uid="{81B38956-A575-44E6-933F-69357C7CF2A1}" name="Rubro presupuesto" dataDxfId="16" dataCellStyle="Normal 2"/>
    <tableColumn id="12" xr3:uid="{28D340F3-2363-4570-8E6E-341CF661E074}" name="Valor estimado Asignado a Contratar _x000a_(Incluya el valor total de la Contratación si tiene Vigencia Futura. De lo contrario, este valor debe ser igual al de la siguiente columna)" dataDxfId="15" dataCellStyle="Moneda [0]">
      <calculatedColumnFormula>+N6+Q6+R6</calculatedColumnFormula>
    </tableColumn>
    <tableColumn id="13" xr3:uid="{D57BD728-A312-4B5B-AFEB-F403E139AC08}" name="Valor estimado en la vigencia actual" dataDxfId="14" dataCellStyle="Moneda [0]">
      <calculatedColumnFormula>+P6+O6</calculatedColumnFormula>
    </tableColumn>
    <tableColumn id="14" xr3:uid="{49A88EF0-40BB-4C9C-BC57-DC6EFB867E5B}" name="Fuente de los recursos (reintegración de la vigencia actual)" dataDxfId="13" dataCellStyle="Moneda [0]"/>
    <tableColumn id="15" xr3:uid="{68242B6B-3E67-4309-BF34-08E75664E16D}" name="Fuente de los recursos (reincorporación de la vigencia actual)" dataDxfId="12" dataCellStyle="Moneda [0]"/>
    <tableColumn id="27" xr3:uid="{C44D93C0-F299-4F5A-99D5-FC01C2D8FCEE}" name="Valor 2021" dataDxfId="11" dataCellStyle="Moneda [0]">
      <calculatedColumnFormula>5262916643</calculatedColumnFormula>
    </tableColumn>
    <tableColumn id="28" xr3:uid="{1571ABCB-4CDC-42A2-85FD-2FBC207C6097}" name="Valor 2022" dataDxfId="10" dataCellStyle="Moneda [0]"/>
    <tableColumn id="16" xr3:uid="{74C5608E-F574-41EE-AC06-40ADFC631AE7}" name="¿Se requieren vigencias futuras?" dataDxfId="9" dataCellStyle="BodyStyle"/>
    <tableColumn id="17" xr3:uid="{ED58D0C9-AF03-4C9D-9BF8-625D98E16FE1}" name="Estado de solicitud de vigencias futuras" dataDxfId="8" dataCellStyle="BodyStyle"/>
    <tableColumn id="26" xr3:uid="{052A3C7C-94D7-4D1C-95F9-28C1390C4ACA}" name="Valor de la VGF por tramitar" dataDxfId="7" dataCellStyle="Moneda [0]"/>
    <tableColumn id="29" xr3:uid="{7ECD9278-3031-4659-8531-29A76BE5A06E}" name="Estado" dataDxfId="6" dataCellStyle="BodyStyle"/>
    <tableColumn id="18" xr3:uid="{6C725239-6DB7-410A-99FE-620855F2931C}" name="Nombre del Responsable en la Dependencia" dataDxfId="5" dataCellStyle="BodyStyle"/>
    <tableColumn id="19" xr3:uid="{930BFDD4-1187-42C5-94B4-BC55F6444458}" name="Unidad de contratación (Grupo de Gestión Contractual)" dataDxfId="4" dataCellStyle="BodyStyle"/>
    <tableColumn id="20" xr3:uid="{8F38BE97-A813-4E40-B58E-7372278BEAFB}" name="Ubicación" dataDxfId="3" dataCellStyle="BodyStyle"/>
    <tableColumn id="21" xr3:uid="{CB340409-A41B-43BC-B6ED-570C8A815428}" name="Nombre del responsable " dataDxfId="2" dataCellStyle="BodyStyle"/>
    <tableColumn id="22" xr3:uid="{334F32BF-67CF-4450-B1B4-12A03ECBDA0F}" name="Teléfono del responsable " dataDxfId="1" dataCellStyle="BodyStyle"/>
    <tableColumn id="23" xr3:uid="{0BA2E9F5-BF40-4FD0-A0D9-364E252AECB0}" name="Correo electrónico del responsable " dataDxfId="0"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comments" Target="../comments1.x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table" Target="../tables/table1.x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printerSettings" Target="../printerSettings/printerSettings1.bin"/><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vmlDrawing" Target="../drawings/vmlDrawing1.v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E5E32-2B28-4FA8-8AC2-0E48A219474F}">
  <dimension ref="A1:AB186"/>
  <sheetViews>
    <sheetView tabSelected="1" view="pageBreakPreview" zoomScale="70" zoomScaleNormal="85" zoomScaleSheetLayoutView="70" workbookViewId="0">
      <pane xSplit="3" ySplit="5" topLeftCell="D6" activePane="bottomRight" state="frozen"/>
      <selection pane="topRight" activeCell="D1" sqref="D1"/>
      <selection pane="bottomLeft" activeCell="A6" sqref="A6"/>
      <selection pane="bottomRight" activeCell="F6" sqref="F6"/>
    </sheetView>
  </sheetViews>
  <sheetFormatPr baseColWidth="10" defaultColWidth="5" defaultRowHeight="12.5" x14ac:dyDescent="0.25"/>
  <cols>
    <col min="1" max="1" width="22.90625" style="1" customWidth="1"/>
    <col min="2" max="2" width="23.54296875" style="262" customWidth="1"/>
    <col min="3" max="3" width="46.453125" style="263" customWidth="1"/>
    <col min="4" max="4" width="16.26953125" style="262" customWidth="1"/>
    <col min="5" max="5" width="31.81640625" style="262" customWidth="1"/>
    <col min="6" max="9" width="16.26953125" style="262" customWidth="1"/>
    <col min="10" max="10" width="16.453125" style="262" customWidth="1"/>
    <col min="11" max="11" width="39.7265625" style="263" customWidth="1"/>
    <col min="12" max="12" width="18.453125" style="264" customWidth="1"/>
    <col min="13" max="13" width="19.453125" style="264" customWidth="1"/>
    <col min="14" max="14" width="19.453125" style="263" customWidth="1"/>
    <col min="15" max="15" width="20.26953125" style="263" customWidth="1"/>
    <col min="16" max="16" width="20.26953125" style="262" customWidth="1"/>
    <col min="17" max="18" width="18.26953125" style="262" customWidth="1"/>
    <col min="19" max="20" width="16.26953125" style="263" customWidth="1"/>
    <col min="21" max="21" width="20.7265625" style="263" customWidth="1"/>
    <col min="22" max="22" width="16.26953125" style="263" customWidth="1"/>
    <col min="23" max="23" width="16.26953125" style="262" customWidth="1"/>
    <col min="24" max="25" width="16.26953125" style="263" customWidth="1"/>
    <col min="26" max="26" width="16.26953125" style="262" customWidth="1"/>
    <col min="27" max="27" width="16.26953125" style="263" customWidth="1"/>
    <col min="28" max="28" width="42.81640625" style="5" customWidth="1"/>
    <col min="29" max="16384" width="5" style="16"/>
  </cols>
  <sheetData>
    <row r="1" spans="1:28" s="6" customFormat="1" hidden="1" x14ac:dyDescent="0.25">
      <c r="A1" s="1"/>
      <c r="B1" s="2"/>
      <c r="C1" s="3"/>
      <c r="D1" s="2"/>
      <c r="E1" s="2"/>
      <c r="F1" s="2"/>
      <c r="G1" s="2"/>
      <c r="H1" s="2"/>
      <c r="I1" s="2"/>
      <c r="J1" s="2"/>
      <c r="K1" s="3"/>
      <c r="L1" s="4"/>
      <c r="M1" s="4"/>
      <c r="N1" s="3"/>
      <c r="O1" s="3"/>
      <c r="P1" s="2"/>
      <c r="Q1" s="2"/>
      <c r="R1" s="2"/>
      <c r="S1" s="3"/>
      <c r="T1" s="3"/>
      <c r="U1" s="3"/>
      <c r="V1" s="3"/>
      <c r="W1" s="2"/>
      <c r="X1" s="3"/>
      <c r="Y1" s="3"/>
      <c r="Z1" s="2"/>
      <c r="AA1" s="3"/>
      <c r="AB1" s="5"/>
    </row>
    <row r="2" spans="1:28" s="6" customFormat="1" hidden="1" x14ac:dyDescent="0.25">
      <c r="A2" s="1"/>
      <c r="B2" s="2"/>
      <c r="C2" s="3"/>
      <c r="D2" s="2"/>
      <c r="E2" s="2"/>
      <c r="F2" s="2"/>
      <c r="G2" s="2"/>
      <c r="H2" s="2"/>
      <c r="I2" s="2"/>
      <c r="J2" s="2"/>
      <c r="K2" s="3"/>
      <c r="L2" s="4"/>
      <c r="M2" s="4"/>
      <c r="N2" s="3"/>
      <c r="O2" s="3"/>
      <c r="P2" s="2"/>
      <c r="Q2" s="2"/>
      <c r="R2" s="2"/>
      <c r="S2" s="3"/>
      <c r="T2" s="3"/>
      <c r="U2" s="3"/>
      <c r="V2" s="3"/>
      <c r="W2" s="2"/>
      <c r="X2" s="3"/>
      <c r="Y2" s="3"/>
      <c r="Z2" s="2"/>
      <c r="AA2" s="3"/>
      <c r="AB2" s="5"/>
    </row>
    <row r="3" spans="1:28"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9"/>
      <c r="AB3" s="5"/>
    </row>
    <row r="4" spans="1:28"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9"/>
      <c r="AB4" s="5"/>
    </row>
    <row r="5" spans="1:28"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1" t="s">
        <v>25</v>
      </c>
      <c r="Z5" s="14" t="s">
        <v>26</v>
      </c>
      <c r="AA5" s="11" t="s">
        <v>27</v>
      </c>
      <c r="AB5" s="15" t="s">
        <v>28</v>
      </c>
    </row>
    <row r="6" spans="1:28" ht="168.75" customHeight="1" x14ac:dyDescent="0.25">
      <c r="A6" s="17" t="s">
        <v>30</v>
      </c>
      <c r="B6" s="18" t="s">
        <v>31</v>
      </c>
      <c r="C6" s="19" t="s">
        <v>32</v>
      </c>
      <c r="D6" s="19"/>
      <c r="E6" s="20">
        <v>44012</v>
      </c>
      <c r="F6" s="21" t="s">
        <v>33</v>
      </c>
      <c r="G6" s="21" t="s">
        <v>33</v>
      </c>
      <c r="H6" s="22">
        <v>18</v>
      </c>
      <c r="I6" s="23" t="s">
        <v>34</v>
      </c>
      <c r="J6" s="24" t="s">
        <v>35</v>
      </c>
      <c r="K6" s="25" t="s">
        <v>36</v>
      </c>
      <c r="L6" s="18" t="s">
        <v>37</v>
      </c>
      <c r="M6" s="26">
        <f>+N6+Q6+R6</f>
        <v>1250000000</v>
      </c>
      <c r="N6" s="26">
        <f t="shared" ref="N6:N54" si="0">+P6+O6</f>
        <v>1250000000</v>
      </c>
      <c r="O6" s="27">
        <v>0</v>
      </c>
      <c r="P6" s="28">
        <f>1500000000-250000000</f>
        <v>1250000000</v>
      </c>
      <c r="Q6" s="27"/>
      <c r="R6" s="27"/>
      <c r="S6" s="29" t="s">
        <v>38</v>
      </c>
      <c r="T6" s="29" t="s">
        <v>39</v>
      </c>
      <c r="U6" s="27"/>
      <c r="V6" s="29"/>
      <c r="W6" s="29" t="s">
        <v>40</v>
      </c>
      <c r="X6" s="29" t="s">
        <v>41</v>
      </c>
      <c r="Y6" s="29" t="s">
        <v>42</v>
      </c>
      <c r="Z6" s="29" t="s">
        <v>43</v>
      </c>
      <c r="AA6" s="30" t="s">
        <v>44</v>
      </c>
      <c r="AB6" s="31" t="s">
        <v>45</v>
      </c>
    </row>
    <row r="7" spans="1:28" ht="87" customHeight="1" x14ac:dyDescent="0.25">
      <c r="A7" s="32" t="s">
        <v>30</v>
      </c>
      <c r="B7" s="33" t="s">
        <v>47</v>
      </c>
      <c r="C7" s="34" t="s">
        <v>48</v>
      </c>
      <c r="D7" s="35">
        <v>44106</v>
      </c>
      <c r="E7" s="36">
        <v>43980</v>
      </c>
      <c r="F7" s="37"/>
      <c r="G7" s="37"/>
      <c r="H7" s="38">
        <v>7</v>
      </c>
      <c r="I7" s="39" t="s">
        <v>34</v>
      </c>
      <c r="J7" s="40" t="s">
        <v>49</v>
      </c>
      <c r="K7" s="41" t="s">
        <v>50</v>
      </c>
      <c r="L7" s="33" t="s">
        <v>37</v>
      </c>
      <c r="M7" s="42">
        <f>+N7+Q7+R7</f>
        <v>2553183679</v>
      </c>
      <c r="N7" s="42">
        <f t="shared" si="0"/>
        <v>2553183679</v>
      </c>
      <c r="O7" s="43">
        <v>2553183679</v>
      </c>
      <c r="P7" s="43"/>
      <c r="Q7" s="43"/>
      <c r="R7" s="43"/>
      <c r="S7" s="44" t="s">
        <v>38</v>
      </c>
      <c r="T7" s="44" t="s">
        <v>39</v>
      </c>
      <c r="U7" s="42"/>
      <c r="V7" s="44" t="s">
        <v>51</v>
      </c>
      <c r="W7" s="44" t="s">
        <v>40</v>
      </c>
      <c r="X7" s="44" t="s">
        <v>41</v>
      </c>
      <c r="Y7" s="44" t="s">
        <v>42</v>
      </c>
      <c r="Z7" s="44" t="s">
        <v>43</v>
      </c>
      <c r="AA7" s="45" t="s">
        <v>44</v>
      </c>
      <c r="AB7" s="46" t="s">
        <v>45</v>
      </c>
    </row>
    <row r="8" spans="1:28" ht="98.25" customHeight="1" x14ac:dyDescent="0.25">
      <c r="A8" s="17" t="s">
        <v>30</v>
      </c>
      <c r="B8" s="18" t="s">
        <v>47</v>
      </c>
      <c r="C8" s="19" t="s">
        <v>52</v>
      </c>
      <c r="D8" s="48">
        <v>44106</v>
      </c>
      <c r="E8" s="49">
        <v>43980</v>
      </c>
      <c r="F8" s="21" t="s">
        <v>53</v>
      </c>
      <c r="G8" s="21" t="s">
        <v>53</v>
      </c>
      <c r="H8" s="50">
        <v>7</v>
      </c>
      <c r="I8" s="23" t="s">
        <v>34</v>
      </c>
      <c r="J8" s="24" t="s">
        <v>54</v>
      </c>
      <c r="K8" s="25" t="s">
        <v>50</v>
      </c>
      <c r="L8" s="18" t="s">
        <v>37</v>
      </c>
      <c r="M8" s="26">
        <f t="shared" ref="M8:M65" si="1">+N8+Q8+R8</f>
        <v>530000000</v>
      </c>
      <c r="N8" s="26">
        <f t="shared" si="0"/>
        <v>530000000</v>
      </c>
      <c r="O8" s="51">
        <f>800000000-270000000</f>
        <v>530000000</v>
      </c>
      <c r="P8" s="51"/>
      <c r="Q8" s="27"/>
      <c r="R8" s="27"/>
      <c r="S8" s="29" t="s">
        <v>38</v>
      </c>
      <c r="T8" s="29" t="s">
        <v>39</v>
      </c>
      <c r="U8" s="26"/>
      <c r="V8" s="29"/>
      <c r="W8" s="29" t="s">
        <v>40</v>
      </c>
      <c r="X8" s="29" t="s">
        <v>41</v>
      </c>
      <c r="Y8" s="29" t="s">
        <v>42</v>
      </c>
      <c r="Z8" s="29" t="s">
        <v>43</v>
      </c>
      <c r="AA8" s="30" t="s">
        <v>44</v>
      </c>
      <c r="AB8" s="31" t="s">
        <v>45</v>
      </c>
    </row>
    <row r="9" spans="1:28" ht="57.75" customHeight="1" x14ac:dyDescent="0.25">
      <c r="A9" s="32" t="s">
        <v>30</v>
      </c>
      <c r="B9" s="33" t="s">
        <v>47</v>
      </c>
      <c r="C9" s="34" t="s">
        <v>55</v>
      </c>
      <c r="D9" s="35">
        <v>44071</v>
      </c>
      <c r="E9" s="52"/>
      <c r="F9" s="37"/>
      <c r="G9" s="37"/>
      <c r="H9" s="53"/>
      <c r="I9" s="39"/>
      <c r="J9" s="40" t="s">
        <v>49</v>
      </c>
      <c r="K9" s="41" t="s">
        <v>56</v>
      </c>
      <c r="L9" s="33" t="s">
        <v>37</v>
      </c>
      <c r="M9" s="42">
        <f t="shared" si="1"/>
        <v>2836535605</v>
      </c>
      <c r="N9" s="42">
        <f t="shared" si="0"/>
        <v>2836535605</v>
      </c>
      <c r="O9" s="42"/>
      <c r="P9" s="43">
        <v>2836535605</v>
      </c>
      <c r="Q9" s="43"/>
      <c r="R9" s="43"/>
      <c r="S9" s="44" t="s">
        <v>38</v>
      </c>
      <c r="T9" s="44" t="s">
        <v>39</v>
      </c>
      <c r="U9" s="42"/>
      <c r="V9" s="44" t="s">
        <v>51</v>
      </c>
      <c r="W9" s="44" t="s">
        <v>40</v>
      </c>
      <c r="X9" s="44" t="s">
        <v>41</v>
      </c>
      <c r="Y9" s="44" t="s">
        <v>42</v>
      </c>
      <c r="Z9" s="44" t="s">
        <v>43</v>
      </c>
      <c r="AA9" s="45" t="s">
        <v>44</v>
      </c>
      <c r="AB9" s="46" t="s">
        <v>45</v>
      </c>
    </row>
    <row r="10" spans="1:28" ht="99" customHeight="1" x14ac:dyDescent="0.25">
      <c r="A10" s="32" t="s">
        <v>30</v>
      </c>
      <c r="B10" s="33" t="s">
        <v>57</v>
      </c>
      <c r="C10" s="54" t="s">
        <v>58</v>
      </c>
      <c r="D10" s="35">
        <v>44082</v>
      </c>
      <c r="E10" s="52"/>
      <c r="F10" s="44"/>
      <c r="G10" s="44"/>
      <c r="H10" s="55"/>
      <c r="I10" s="44" t="s">
        <v>34</v>
      </c>
      <c r="J10" s="40" t="s">
        <v>49</v>
      </c>
      <c r="K10" s="54" t="s">
        <v>59</v>
      </c>
      <c r="L10" s="33" t="s">
        <v>37</v>
      </c>
      <c r="M10" s="42">
        <f t="shared" si="1"/>
        <v>1051718685</v>
      </c>
      <c r="N10" s="42">
        <f t="shared" si="0"/>
        <v>1051718685</v>
      </c>
      <c r="O10" s="42">
        <v>1051718685</v>
      </c>
      <c r="P10" s="42"/>
      <c r="Q10" s="42"/>
      <c r="R10" s="42"/>
      <c r="S10" s="44" t="s">
        <v>38</v>
      </c>
      <c r="T10" s="44" t="s">
        <v>60</v>
      </c>
      <c r="U10" s="42"/>
      <c r="V10" s="44" t="s">
        <v>51</v>
      </c>
      <c r="W10" s="44" t="s">
        <v>40</v>
      </c>
      <c r="X10" s="44" t="s">
        <v>41</v>
      </c>
      <c r="Y10" s="44" t="s">
        <v>42</v>
      </c>
      <c r="Z10" s="44" t="s">
        <v>43</v>
      </c>
      <c r="AA10" s="45" t="s">
        <v>61</v>
      </c>
      <c r="AB10" s="46" t="s">
        <v>45</v>
      </c>
    </row>
    <row r="11" spans="1:28" ht="116.25" customHeight="1" x14ac:dyDescent="0.25">
      <c r="A11" s="17" t="s">
        <v>30</v>
      </c>
      <c r="B11" s="18" t="s">
        <v>31</v>
      </c>
      <c r="C11" s="19" t="s">
        <v>62</v>
      </c>
      <c r="D11" s="19"/>
      <c r="E11" s="49">
        <v>43980</v>
      </c>
      <c r="F11" s="29" t="s">
        <v>53</v>
      </c>
      <c r="G11" s="56" t="s">
        <v>53</v>
      </c>
      <c r="H11" s="50">
        <v>6</v>
      </c>
      <c r="I11" s="23" t="s">
        <v>34</v>
      </c>
      <c r="J11" s="24" t="s">
        <v>35</v>
      </c>
      <c r="K11" s="25" t="s">
        <v>63</v>
      </c>
      <c r="L11" s="18" t="s">
        <v>37</v>
      </c>
      <c r="M11" s="26">
        <f t="shared" si="1"/>
        <v>3200000000</v>
      </c>
      <c r="N11" s="26">
        <f t="shared" si="0"/>
        <v>3200000000</v>
      </c>
      <c r="O11" s="27">
        <v>0</v>
      </c>
      <c r="P11" s="51">
        <f>4120000000-920000000</f>
        <v>3200000000</v>
      </c>
      <c r="Q11" s="27"/>
      <c r="R11" s="27"/>
      <c r="S11" s="29" t="s">
        <v>38</v>
      </c>
      <c r="T11" s="29" t="s">
        <v>39</v>
      </c>
      <c r="U11" s="26"/>
      <c r="V11" s="29"/>
      <c r="W11" s="29" t="s">
        <v>40</v>
      </c>
      <c r="X11" s="29" t="s">
        <v>41</v>
      </c>
      <c r="Y11" s="29" t="s">
        <v>42</v>
      </c>
      <c r="Z11" s="29" t="s">
        <v>43</v>
      </c>
      <c r="AA11" s="30" t="s">
        <v>44</v>
      </c>
      <c r="AB11" s="31" t="s">
        <v>45</v>
      </c>
    </row>
    <row r="12" spans="1:28" ht="124.5" customHeight="1" x14ac:dyDescent="0.25">
      <c r="A12" s="59" t="s">
        <v>64</v>
      </c>
      <c r="B12" s="60">
        <v>86101700</v>
      </c>
      <c r="C12" s="61" t="s">
        <v>66</v>
      </c>
      <c r="D12" s="61"/>
      <c r="E12" s="62">
        <v>43951</v>
      </c>
      <c r="F12" s="63" t="s">
        <v>53</v>
      </c>
      <c r="G12" s="64" t="s">
        <v>33</v>
      </c>
      <c r="H12" s="65">
        <v>6</v>
      </c>
      <c r="I12" s="66" t="s">
        <v>34</v>
      </c>
      <c r="J12" s="67" t="s">
        <v>67</v>
      </c>
      <c r="K12" s="68" t="s">
        <v>68</v>
      </c>
      <c r="L12" s="60"/>
      <c r="M12" s="69">
        <f>+N12+Q12+R12</f>
        <v>500000000</v>
      </c>
      <c r="N12" s="69">
        <f t="shared" si="0"/>
        <v>500000000</v>
      </c>
      <c r="O12" s="70"/>
      <c r="P12" s="70">
        <v>500000000</v>
      </c>
      <c r="Q12" s="71"/>
      <c r="R12" s="69"/>
      <c r="S12" s="63" t="s">
        <v>38</v>
      </c>
      <c r="T12" s="63" t="s">
        <v>39</v>
      </c>
      <c r="U12" s="69"/>
      <c r="V12" s="63" t="s">
        <v>69</v>
      </c>
      <c r="W12" s="63" t="s">
        <v>65</v>
      </c>
      <c r="X12" s="63" t="s">
        <v>41</v>
      </c>
      <c r="Y12" s="63" t="s">
        <v>42</v>
      </c>
      <c r="Z12" s="63" t="s">
        <v>43</v>
      </c>
      <c r="AA12" s="72" t="s">
        <v>44</v>
      </c>
      <c r="AB12" s="73" t="s">
        <v>45</v>
      </c>
    </row>
    <row r="13" spans="1:28" ht="173.25" customHeight="1" x14ac:dyDescent="0.25">
      <c r="A13" s="17" t="s">
        <v>70</v>
      </c>
      <c r="B13" s="24">
        <v>84131601</v>
      </c>
      <c r="C13" s="19" t="s">
        <v>71</v>
      </c>
      <c r="D13" s="19"/>
      <c r="E13" s="20"/>
      <c r="F13" s="21"/>
      <c r="G13" s="29"/>
      <c r="H13" s="29"/>
      <c r="I13" s="23"/>
      <c r="J13" s="24" t="s">
        <v>72</v>
      </c>
      <c r="K13" s="74" t="s">
        <v>73</v>
      </c>
      <c r="L13" s="18" t="s">
        <v>37</v>
      </c>
      <c r="M13" s="26">
        <f t="shared" si="1"/>
        <v>0</v>
      </c>
      <c r="N13" s="26">
        <f t="shared" si="0"/>
        <v>0</v>
      </c>
      <c r="O13" s="75"/>
      <c r="P13" s="75"/>
      <c r="Q13" s="26"/>
      <c r="R13" s="26"/>
      <c r="S13" s="29" t="s">
        <v>38</v>
      </c>
      <c r="T13" s="29" t="s">
        <v>39</v>
      </c>
      <c r="U13" s="26"/>
      <c r="V13" s="29"/>
      <c r="W13" s="29" t="s">
        <v>74</v>
      </c>
      <c r="X13" s="29" t="s">
        <v>41</v>
      </c>
      <c r="Y13" s="29" t="s">
        <v>42</v>
      </c>
      <c r="Z13" s="29" t="s">
        <v>43</v>
      </c>
      <c r="AA13" s="30" t="s">
        <v>44</v>
      </c>
      <c r="AB13" s="31" t="s">
        <v>45</v>
      </c>
    </row>
    <row r="14" spans="1:28" ht="87.5" customHeight="1" x14ac:dyDescent="0.25">
      <c r="A14" s="59" t="s">
        <v>64</v>
      </c>
      <c r="B14" s="60" t="s">
        <v>75</v>
      </c>
      <c r="C14" s="61" t="s">
        <v>76</v>
      </c>
      <c r="D14" s="76"/>
      <c r="E14" s="77">
        <v>43903</v>
      </c>
      <c r="F14" s="78" t="s">
        <v>77</v>
      </c>
      <c r="G14" s="78" t="s">
        <v>77</v>
      </c>
      <c r="H14" s="63" t="s">
        <v>78</v>
      </c>
      <c r="I14" s="66" t="s">
        <v>34</v>
      </c>
      <c r="J14" s="61" t="s">
        <v>35</v>
      </c>
      <c r="K14" s="68" t="s">
        <v>79</v>
      </c>
      <c r="L14" s="79" t="s">
        <v>37</v>
      </c>
      <c r="M14" s="69">
        <f>+N14+Q14+R14</f>
        <v>1600000000</v>
      </c>
      <c r="N14" s="69">
        <f t="shared" si="0"/>
        <v>1600000000</v>
      </c>
      <c r="O14" s="69"/>
      <c r="P14" s="69">
        <v>1600000000</v>
      </c>
      <c r="Q14" s="80"/>
      <c r="R14" s="80"/>
      <c r="S14" s="63" t="s">
        <v>38</v>
      </c>
      <c r="T14" s="63" t="s">
        <v>39</v>
      </c>
      <c r="U14" s="80"/>
      <c r="V14" s="63" t="s">
        <v>69</v>
      </c>
      <c r="W14" s="63" t="s">
        <v>80</v>
      </c>
      <c r="X14" s="63" t="s">
        <v>41</v>
      </c>
      <c r="Y14" s="63" t="s">
        <v>42</v>
      </c>
      <c r="Z14" s="63" t="s">
        <v>43</v>
      </c>
      <c r="AA14" s="72" t="s">
        <v>44</v>
      </c>
      <c r="AB14" s="73" t="s">
        <v>45</v>
      </c>
    </row>
    <row r="15" spans="1:28" ht="228" customHeight="1" x14ac:dyDescent="0.25">
      <c r="A15" s="59" t="s">
        <v>81</v>
      </c>
      <c r="B15" s="82" t="s">
        <v>82</v>
      </c>
      <c r="C15" s="61" t="s">
        <v>83</v>
      </c>
      <c r="D15" s="61"/>
      <c r="E15" s="77">
        <v>43889</v>
      </c>
      <c r="F15" s="63" t="s">
        <v>84</v>
      </c>
      <c r="G15" s="63" t="s">
        <v>84</v>
      </c>
      <c r="H15" s="65">
        <v>7</v>
      </c>
      <c r="I15" s="63" t="s">
        <v>34</v>
      </c>
      <c r="J15" s="82" t="s">
        <v>35</v>
      </c>
      <c r="K15" s="83" t="s">
        <v>85</v>
      </c>
      <c r="L15" s="60" t="s">
        <v>86</v>
      </c>
      <c r="M15" s="69">
        <f t="shared" si="1"/>
        <v>4901250000</v>
      </c>
      <c r="N15" s="69">
        <f t="shared" si="0"/>
        <v>4901250000</v>
      </c>
      <c r="O15" s="69"/>
      <c r="P15" s="69">
        <f>3101250000+1800000000</f>
        <v>4901250000</v>
      </c>
      <c r="Q15" s="69"/>
      <c r="R15" s="69"/>
      <c r="S15" s="63" t="s">
        <v>38</v>
      </c>
      <c r="T15" s="63" t="s">
        <v>39</v>
      </c>
      <c r="U15" s="69"/>
      <c r="V15" s="63" t="s">
        <v>69</v>
      </c>
      <c r="W15" s="63" t="s">
        <v>80</v>
      </c>
      <c r="X15" s="63" t="s">
        <v>41</v>
      </c>
      <c r="Y15" s="63" t="s">
        <v>42</v>
      </c>
      <c r="Z15" s="63" t="s">
        <v>43</v>
      </c>
      <c r="AA15" s="72" t="s">
        <v>87</v>
      </c>
      <c r="AB15" s="73" t="s">
        <v>45</v>
      </c>
    </row>
    <row r="16" spans="1:28" ht="71.25" customHeight="1" x14ac:dyDescent="0.25">
      <c r="A16" s="32" t="s">
        <v>88</v>
      </c>
      <c r="B16" s="40" t="s">
        <v>89</v>
      </c>
      <c r="C16" s="34" t="s">
        <v>90</v>
      </c>
      <c r="D16" s="34"/>
      <c r="E16" s="52">
        <v>43861</v>
      </c>
      <c r="F16" s="44" t="s">
        <v>91</v>
      </c>
      <c r="G16" s="44" t="s">
        <v>91</v>
      </c>
      <c r="H16" s="55">
        <v>10</v>
      </c>
      <c r="I16" s="39" t="s">
        <v>34</v>
      </c>
      <c r="J16" s="40" t="s">
        <v>35</v>
      </c>
      <c r="K16" s="54" t="s">
        <v>92</v>
      </c>
      <c r="L16" s="33" t="s">
        <v>37</v>
      </c>
      <c r="M16" s="42">
        <f t="shared" si="1"/>
        <v>482131298.88</v>
      </c>
      <c r="N16" s="42">
        <f t="shared" si="0"/>
        <v>482131298.88</v>
      </c>
      <c r="O16" s="42">
        <v>482131298.88</v>
      </c>
      <c r="P16" s="42">
        <v>0</v>
      </c>
      <c r="Q16" s="42"/>
      <c r="R16" s="42"/>
      <c r="S16" s="44" t="s">
        <v>38</v>
      </c>
      <c r="T16" s="44" t="s">
        <v>39</v>
      </c>
      <c r="U16" s="42"/>
      <c r="V16" s="44" t="s">
        <v>93</v>
      </c>
      <c r="W16" s="44" t="s">
        <v>94</v>
      </c>
      <c r="X16" s="44" t="s">
        <v>41</v>
      </c>
      <c r="Y16" s="44" t="s">
        <v>42</v>
      </c>
      <c r="Z16" s="44" t="s">
        <v>43</v>
      </c>
      <c r="AA16" s="45" t="s">
        <v>44</v>
      </c>
      <c r="AB16" s="46" t="s">
        <v>45</v>
      </c>
    </row>
    <row r="17" spans="1:28" ht="156.75" customHeight="1" x14ac:dyDescent="0.25">
      <c r="A17" s="59" t="s">
        <v>81</v>
      </c>
      <c r="B17" s="82" t="s">
        <v>97</v>
      </c>
      <c r="C17" s="61" t="s">
        <v>98</v>
      </c>
      <c r="D17" s="61"/>
      <c r="E17" s="77">
        <v>43889</v>
      </c>
      <c r="F17" s="63" t="s">
        <v>84</v>
      </c>
      <c r="G17" s="64" t="s">
        <v>84</v>
      </c>
      <c r="H17" s="85">
        <v>6</v>
      </c>
      <c r="I17" s="66" t="s">
        <v>34</v>
      </c>
      <c r="J17" s="82" t="s">
        <v>35</v>
      </c>
      <c r="K17" s="83" t="s">
        <v>99</v>
      </c>
      <c r="L17" s="60" t="s">
        <v>100</v>
      </c>
      <c r="M17" s="69">
        <f>+N17+Q17+R17</f>
        <v>350000000</v>
      </c>
      <c r="N17" s="69">
        <f>+P17+O17</f>
        <v>350000000</v>
      </c>
      <c r="O17" s="69"/>
      <c r="P17" s="69">
        <v>350000000</v>
      </c>
      <c r="Q17" s="69"/>
      <c r="R17" s="69"/>
      <c r="S17" s="63" t="s">
        <v>38</v>
      </c>
      <c r="T17" s="63" t="s">
        <v>39</v>
      </c>
      <c r="U17" s="69"/>
      <c r="V17" s="63" t="s">
        <v>69</v>
      </c>
      <c r="W17" s="63" t="s">
        <v>80</v>
      </c>
      <c r="X17" s="63" t="s">
        <v>101</v>
      </c>
      <c r="Y17" s="63" t="s">
        <v>42</v>
      </c>
      <c r="Z17" s="63" t="s">
        <v>43</v>
      </c>
      <c r="AA17" s="72" t="s">
        <v>102</v>
      </c>
      <c r="AB17" s="73" t="s">
        <v>45</v>
      </c>
    </row>
    <row r="18" spans="1:28" ht="156.75" customHeight="1" x14ac:dyDescent="0.25">
      <c r="A18" s="59" t="s">
        <v>95</v>
      </c>
      <c r="B18" s="82" t="s">
        <v>103</v>
      </c>
      <c r="C18" s="61" t="s">
        <v>104</v>
      </c>
      <c r="D18" s="61"/>
      <c r="E18" s="77">
        <v>43921</v>
      </c>
      <c r="F18" s="63" t="s">
        <v>77</v>
      </c>
      <c r="G18" s="63" t="s">
        <v>77</v>
      </c>
      <c r="H18" s="85">
        <v>8</v>
      </c>
      <c r="I18" s="66" t="s">
        <v>34</v>
      </c>
      <c r="J18" s="82" t="s">
        <v>35</v>
      </c>
      <c r="K18" s="83" t="s">
        <v>105</v>
      </c>
      <c r="L18" s="60" t="s">
        <v>37</v>
      </c>
      <c r="M18" s="69">
        <f t="shared" si="1"/>
        <v>4452567490</v>
      </c>
      <c r="N18" s="69">
        <f t="shared" si="0"/>
        <v>3116797243</v>
      </c>
      <c r="O18" s="69">
        <f>463535700+64651618-25096747</f>
        <v>503090571</v>
      </c>
      <c r="P18" s="69">
        <f>2627017700+344794982-358106010</f>
        <v>2613706672</v>
      </c>
      <c r="Q18" s="69">
        <v>1335770247</v>
      </c>
      <c r="R18" s="69"/>
      <c r="S18" s="63" t="s">
        <v>38</v>
      </c>
      <c r="T18" s="63" t="s">
        <v>39</v>
      </c>
      <c r="U18" s="69"/>
      <c r="V18" s="63" t="s">
        <v>69</v>
      </c>
      <c r="W18" s="63" t="s">
        <v>96</v>
      </c>
      <c r="X18" s="63" t="s">
        <v>41</v>
      </c>
      <c r="Y18" s="63" t="s">
        <v>42</v>
      </c>
      <c r="Z18" s="63" t="s">
        <v>43</v>
      </c>
      <c r="AA18" s="72" t="s">
        <v>44</v>
      </c>
      <c r="AB18" s="73" t="s">
        <v>45</v>
      </c>
    </row>
    <row r="19" spans="1:28" ht="157.5" customHeight="1" x14ac:dyDescent="0.25">
      <c r="A19" s="17" t="s">
        <v>106</v>
      </c>
      <c r="B19" s="24" t="s">
        <v>107</v>
      </c>
      <c r="C19" s="19" t="s">
        <v>108</v>
      </c>
      <c r="D19" s="19"/>
      <c r="E19" s="49">
        <v>43987</v>
      </c>
      <c r="F19" s="29" t="s">
        <v>53</v>
      </c>
      <c r="G19" s="29" t="s">
        <v>53</v>
      </c>
      <c r="H19" s="57">
        <v>7</v>
      </c>
      <c r="I19" s="23" t="s">
        <v>34</v>
      </c>
      <c r="J19" s="24" t="s">
        <v>35</v>
      </c>
      <c r="K19" s="74" t="s">
        <v>109</v>
      </c>
      <c r="L19" s="18" t="s">
        <v>110</v>
      </c>
      <c r="M19" s="26">
        <f t="shared" si="1"/>
        <v>306074960</v>
      </c>
      <c r="N19" s="26">
        <f t="shared" si="0"/>
        <v>306074960</v>
      </c>
      <c r="O19" s="26">
        <f>306074960</f>
        <v>306074960</v>
      </c>
      <c r="P19" s="26"/>
      <c r="Q19" s="26"/>
      <c r="R19" s="26"/>
      <c r="S19" s="29" t="s">
        <v>38</v>
      </c>
      <c r="T19" s="29" t="s">
        <v>39</v>
      </c>
      <c r="U19" s="26"/>
      <c r="V19" s="29"/>
      <c r="W19" s="29" t="s">
        <v>111</v>
      </c>
      <c r="X19" s="29" t="s">
        <v>41</v>
      </c>
      <c r="Y19" s="29" t="s">
        <v>42</v>
      </c>
      <c r="Z19" s="29" t="s">
        <v>43</v>
      </c>
      <c r="AA19" s="30" t="s">
        <v>44</v>
      </c>
      <c r="AB19" s="31" t="s">
        <v>45</v>
      </c>
    </row>
    <row r="20" spans="1:28" ht="86.25" customHeight="1" x14ac:dyDescent="0.25">
      <c r="A20" s="17" t="s">
        <v>95</v>
      </c>
      <c r="B20" s="24" t="s">
        <v>107</v>
      </c>
      <c r="C20" s="84" t="s">
        <v>112</v>
      </c>
      <c r="D20" s="48"/>
      <c r="E20" s="49">
        <v>43987</v>
      </c>
      <c r="F20" s="29" t="s">
        <v>33</v>
      </c>
      <c r="G20" s="29" t="s">
        <v>33</v>
      </c>
      <c r="H20" s="57">
        <v>7</v>
      </c>
      <c r="I20" s="23" t="s">
        <v>34</v>
      </c>
      <c r="J20" s="24" t="s">
        <v>35</v>
      </c>
      <c r="K20" s="74" t="s">
        <v>113</v>
      </c>
      <c r="L20" s="18" t="s">
        <v>110</v>
      </c>
      <c r="M20" s="26">
        <f t="shared" si="1"/>
        <v>1559119960</v>
      </c>
      <c r="N20" s="26">
        <f t="shared" si="0"/>
        <v>1559119960</v>
      </c>
      <c r="O20" s="26">
        <f>559119960+500000000</f>
        <v>1059119960</v>
      </c>
      <c r="P20" s="26">
        <v>500000000</v>
      </c>
      <c r="Q20" s="86"/>
      <c r="R20" s="26"/>
      <c r="S20" s="29" t="s">
        <v>38</v>
      </c>
      <c r="T20" s="29" t="s">
        <v>39</v>
      </c>
      <c r="U20" s="26"/>
      <c r="V20" s="29"/>
      <c r="W20" s="29" t="s">
        <v>111</v>
      </c>
      <c r="X20" s="29" t="s">
        <v>41</v>
      </c>
      <c r="Y20" s="29" t="s">
        <v>42</v>
      </c>
      <c r="Z20" s="29" t="s">
        <v>43</v>
      </c>
      <c r="AA20" s="30" t="s">
        <v>44</v>
      </c>
      <c r="AB20" s="87" t="s">
        <v>45</v>
      </c>
    </row>
    <row r="21" spans="1:28" ht="144.75" customHeight="1" x14ac:dyDescent="0.25">
      <c r="A21" s="32" t="s">
        <v>30</v>
      </c>
      <c r="B21" s="40" t="s">
        <v>114</v>
      </c>
      <c r="C21" s="34" t="s">
        <v>115</v>
      </c>
      <c r="D21" s="35">
        <v>44284</v>
      </c>
      <c r="E21" s="52">
        <v>43889</v>
      </c>
      <c r="F21" s="37" t="s">
        <v>84</v>
      </c>
      <c r="G21" s="37" t="s">
        <v>84</v>
      </c>
      <c r="H21" s="55">
        <v>8</v>
      </c>
      <c r="I21" s="44" t="s">
        <v>34</v>
      </c>
      <c r="J21" s="40" t="s">
        <v>116</v>
      </c>
      <c r="K21" s="54" t="s">
        <v>117</v>
      </c>
      <c r="L21" s="33" t="s">
        <v>118</v>
      </c>
      <c r="M21" s="42">
        <f t="shared" si="1"/>
        <v>259314777</v>
      </c>
      <c r="N21" s="42">
        <f t="shared" si="0"/>
        <v>259314777</v>
      </c>
      <c r="O21" s="42">
        <v>259314777</v>
      </c>
      <c r="P21" s="42"/>
      <c r="Q21" s="88"/>
      <c r="R21" s="42"/>
      <c r="S21" s="44" t="s">
        <v>38</v>
      </c>
      <c r="T21" s="44" t="s">
        <v>39</v>
      </c>
      <c r="U21" s="42"/>
      <c r="V21" s="44" t="s">
        <v>93</v>
      </c>
      <c r="W21" s="44" t="s">
        <v>119</v>
      </c>
      <c r="X21" s="44" t="s">
        <v>41</v>
      </c>
      <c r="Y21" s="44" t="s">
        <v>42</v>
      </c>
      <c r="Z21" s="44" t="s">
        <v>43</v>
      </c>
      <c r="AA21" s="45" t="s">
        <v>44</v>
      </c>
      <c r="AB21" s="87" t="s">
        <v>45</v>
      </c>
    </row>
    <row r="22" spans="1:28" ht="144.75" customHeight="1" x14ac:dyDescent="0.25">
      <c r="A22" s="17" t="s">
        <v>30</v>
      </c>
      <c r="B22" s="24">
        <v>80111500</v>
      </c>
      <c r="C22" s="19" t="s">
        <v>120</v>
      </c>
      <c r="D22" s="19"/>
      <c r="E22" s="20">
        <v>43889</v>
      </c>
      <c r="F22" s="29" t="s">
        <v>84</v>
      </c>
      <c r="G22" s="29" t="s">
        <v>84</v>
      </c>
      <c r="H22" s="57">
        <v>5</v>
      </c>
      <c r="I22" s="23" t="s">
        <v>34</v>
      </c>
      <c r="J22" s="24" t="s">
        <v>35</v>
      </c>
      <c r="K22" s="74" t="s">
        <v>121</v>
      </c>
      <c r="L22" s="18" t="s">
        <v>37</v>
      </c>
      <c r="M22" s="26">
        <f t="shared" si="1"/>
        <v>500000000</v>
      </c>
      <c r="N22" s="26">
        <f t="shared" si="0"/>
        <v>500000000</v>
      </c>
      <c r="O22" s="26"/>
      <c r="P22" s="26">
        <v>500000000</v>
      </c>
      <c r="Q22" s="26"/>
      <c r="R22" s="26"/>
      <c r="S22" s="29" t="s">
        <v>38</v>
      </c>
      <c r="T22" s="29" t="s">
        <v>39</v>
      </c>
      <c r="U22" s="26"/>
      <c r="V22" s="29"/>
      <c r="W22" s="29" t="s">
        <v>122</v>
      </c>
      <c r="X22" s="29" t="s">
        <v>41</v>
      </c>
      <c r="Y22" s="29" t="s">
        <v>42</v>
      </c>
      <c r="Z22" s="29" t="s">
        <v>43</v>
      </c>
      <c r="AA22" s="30" t="s">
        <v>44</v>
      </c>
      <c r="AB22" s="31" t="s">
        <v>45</v>
      </c>
    </row>
    <row r="23" spans="1:28" ht="71.25" customHeight="1" x14ac:dyDescent="0.25">
      <c r="A23" s="32" t="s">
        <v>123</v>
      </c>
      <c r="B23" s="40">
        <v>80111500</v>
      </c>
      <c r="C23" s="34" t="s">
        <v>124</v>
      </c>
      <c r="D23" s="34"/>
      <c r="E23" s="52"/>
      <c r="F23" s="44"/>
      <c r="G23" s="44"/>
      <c r="H23" s="55"/>
      <c r="I23" s="44"/>
      <c r="J23" s="40" t="s">
        <v>35</v>
      </c>
      <c r="K23" s="54" t="s">
        <v>125</v>
      </c>
      <c r="L23" s="33" t="s">
        <v>37</v>
      </c>
      <c r="M23" s="42">
        <f>+N23+Q23+R23</f>
        <v>1674983232</v>
      </c>
      <c r="N23" s="42">
        <f t="shared" si="0"/>
        <v>1674983232</v>
      </c>
      <c r="O23" s="42">
        <v>0</v>
      </c>
      <c r="P23" s="42">
        <f>1674983232</f>
        <v>1674983232</v>
      </c>
      <c r="Q23" s="42"/>
      <c r="R23" s="42"/>
      <c r="S23" s="44" t="s">
        <v>38</v>
      </c>
      <c r="T23" s="44" t="s">
        <v>39</v>
      </c>
      <c r="U23" s="42"/>
      <c r="V23" s="44" t="s">
        <v>93</v>
      </c>
      <c r="W23" s="44" t="s">
        <v>126</v>
      </c>
      <c r="X23" s="44" t="s">
        <v>41</v>
      </c>
      <c r="Y23" s="44" t="s">
        <v>42</v>
      </c>
      <c r="Z23" s="44" t="s">
        <v>43</v>
      </c>
      <c r="AA23" s="45" t="s">
        <v>44</v>
      </c>
      <c r="AB23" s="46" t="s">
        <v>45</v>
      </c>
    </row>
    <row r="24" spans="1:28" ht="129.75" customHeight="1" x14ac:dyDescent="0.25">
      <c r="A24" s="32" t="s">
        <v>123</v>
      </c>
      <c r="B24" s="33">
        <v>80111500</v>
      </c>
      <c r="C24" s="34" t="s">
        <v>127</v>
      </c>
      <c r="D24" s="34"/>
      <c r="E24" s="52"/>
      <c r="F24" s="44"/>
      <c r="G24" s="44"/>
      <c r="H24" s="55"/>
      <c r="I24" s="44"/>
      <c r="J24" s="40" t="s">
        <v>35</v>
      </c>
      <c r="K24" s="54" t="s">
        <v>128</v>
      </c>
      <c r="L24" s="40" t="s">
        <v>129</v>
      </c>
      <c r="M24" s="42">
        <f t="shared" si="1"/>
        <v>43102462611</v>
      </c>
      <c r="N24" s="42">
        <f t="shared" si="0"/>
        <v>43102462611</v>
      </c>
      <c r="O24" s="42">
        <v>14890994008</v>
      </c>
      <c r="P24" s="42">
        <v>28211468603</v>
      </c>
      <c r="Q24" s="42"/>
      <c r="R24" s="42"/>
      <c r="S24" s="44" t="s">
        <v>38</v>
      </c>
      <c r="T24" s="44" t="s">
        <v>39</v>
      </c>
      <c r="U24" s="42"/>
      <c r="V24" s="44" t="s">
        <v>93</v>
      </c>
      <c r="W24" s="44" t="s">
        <v>130</v>
      </c>
      <c r="X24" s="44" t="s">
        <v>41</v>
      </c>
      <c r="Y24" s="44" t="s">
        <v>42</v>
      </c>
      <c r="Z24" s="44" t="s">
        <v>43</v>
      </c>
      <c r="AA24" s="45" t="s">
        <v>44</v>
      </c>
      <c r="AB24" s="46" t="s">
        <v>45</v>
      </c>
    </row>
    <row r="25" spans="1:28" ht="141" customHeight="1" x14ac:dyDescent="0.25">
      <c r="A25" s="59" t="s">
        <v>30</v>
      </c>
      <c r="B25" s="82" t="s">
        <v>131</v>
      </c>
      <c r="C25" s="61" t="s">
        <v>132</v>
      </c>
      <c r="D25" s="61"/>
      <c r="E25" s="77">
        <v>43889</v>
      </c>
      <c r="F25" s="63" t="s">
        <v>84</v>
      </c>
      <c r="G25" s="64" t="s">
        <v>53</v>
      </c>
      <c r="H25" s="65">
        <v>8</v>
      </c>
      <c r="I25" s="63" t="s">
        <v>34</v>
      </c>
      <c r="J25" s="82" t="s">
        <v>133</v>
      </c>
      <c r="K25" s="83" t="s">
        <v>134</v>
      </c>
      <c r="L25" s="60" t="s">
        <v>135</v>
      </c>
      <c r="M25" s="69">
        <f t="shared" si="1"/>
        <v>2220000000</v>
      </c>
      <c r="N25" s="69">
        <f t="shared" si="0"/>
        <v>2220000000</v>
      </c>
      <c r="O25" s="69">
        <f>450000000+200000000</f>
        <v>650000000</v>
      </c>
      <c r="P25" s="69">
        <f>1210000000+160000000+200000000</f>
        <v>1570000000</v>
      </c>
      <c r="Q25" s="69"/>
      <c r="R25" s="69"/>
      <c r="S25" s="63" t="s">
        <v>38</v>
      </c>
      <c r="T25" s="63" t="s">
        <v>39</v>
      </c>
      <c r="U25" s="69"/>
      <c r="V25" s="63" t="s">
        <v>69</v>
      </c>
      <c r="W25" s="63" t="s">
        <v>126</v>
      </c>
      <c r="X25" s="63" t="s">
        <v>41</v>
      </c>
      <c r="Y25" s="63" t="s">
        <v>42</v>
      </c>
      <c r="Z25" s="63" t="s">
        <v>43</v>
      </c>
      <c r="AA25" s="72" t="s">
        <v>136</v>
      </c>
      <c r="AB25" s="73" t="s">
        <v>45</v>
      </c>
    </row>
    <row r="26" spans="1:28" ht="51" customHeight="1" x14ac:dyDescent="0.25">
      <c r="A26" s="32" t="s">
        <v>137</v>
      </c>
      <c r="B26" s="33">
        <v>80111500</v>
      </c>
      <c r="C26" s="90" t="s">
        <v>138</v>
      </c>
      <c r="D26" s="90"/>
      <c r="E26" s="52"/>
      <c r="F26" s="44" t="s">
        <v>139</v>
      </c>
      <c r="G26" s="44" t="s">
        <v>139</v>
      </c>
      <c r="H26" s="55">
        <v>12</v>
      </c>
      <c r="I26" s="44" t="s">
        <v>34</v>
      </c>
      <c r="J26" s="40" t="s">
        <v>35</v>
      </c>
      <c r="K26" s="90" t="s">
        <v>140</v>
      </c>
      <c r="L26" s="33" t="s">
        <v>37</v>
      </c>
      <c r="M26" s="42">
        <f t="shared" si="1"/>
        <v>3152211545</v>
      </c>
      <c r="N26" s="42">
        <f t="shared" si="0"/>
        <v>3152211545</v>
      </c>
      <c r="O26" s="42">
        <f>5848352092-57973271-61147717-2740320-36910000-4313830381-36910000</f>
        <v>1338840403</v>
      </c>
      <c r="P26" s="42">
        <f>4125719100+502428853-2814776811</f>
        <v>1813371142</v>
      </c>
      <c r="Q26" s="42"/>
      <c r="R26" s="42"/>
      <c r="S26" s="44" t="s">
        <v>38</v>
      </c>
      <c r="T26" s="44" t="s">
        <v>39</v>
      </c>
      <c r="U26" s="42"/>
      <c r="V26" s="44" t="s">
        <v>93</v>
      </c>
      <c r="W26" s="44" t="s">
        <v>130</v>
      </c>
      <c r="X26" s="44" t="s">
        <v>41</v>
      </c>
      <c r="Y26" s="44" t="s">
        <v>42</v>
      </c>
      <c r="Z26" s="44" t="s">
        <v>43</v>
      </c>
      <c r="AA26" s="45" t="s">
        <v>136</v>
      </c>
      <c r="AB26" s="46" t="s">
        <v>45</v>
      </c>
    </row>
    <row r="27" spans="1:28" ht="85.5" customHeight="1" x14ac:dyDescent="0.25">
      <c r="A27" s="32" t="s">
        <v>141</v>
      </c>
      <c r="B27" s="33" t="s">
        <v>142</v>
      </c>
      <c r="C27" s="34" t="s">
        <v>143</v>
      </c>
      <c r="D27" s="35">
        <v>44150</v>
      </c>
      <c r="E27" s="52"/>
      <c r="F27" s="37" t="s">
        <v>139</v>
      </c>
      <c r="G27" s="37" t="s">
        <v>139</v>
      </c>
      <c r="H27" s="55">
        <v>12</v>
      </c>
      <c r="I27" s="91" t="s">
        <v>34</v>
      </c>
      <c r="J27" s="40" t="s">
        <v>49</v>
      </c>
      <c r="K27" s="44" t="s">
        <v>144</v>
      </c>
      <c r="L27" s="40" t="s">
        <v>145</v>
      </c>
      <c r="M27" s="42">
        <f t="shared" si="1"/>
        <v>6172217489</v>
      </c>
      <c r="N27" s="42">
        <f t="shared" si="0"/>
        <v>6172217489</v>
      </c>
      <c r="O27" s="42">
        <f>(697977588+4645071984)-157451069</f>
        <v>5185598503</v>
      </c>
      <c r="P27" s="42">
        <f>829167917+157451069</f>
        <v>986618986</v>
      </c>
      <c r="Q27" s="42"/>
      <c r="R27" s="42"/>
      <c r="S27" s="44" t="s">
        <v>38</v>
      </c>
      <c r="T27" s="44" t="s">
        <v>39</v>
      </c>
      <c r="U27" s="42"/>
      <c r="V27" s="44" t="s">
        <v>51</v>
      </c>
      <c r="W27" s="44" t="s">
        <v>146</v>
      </c>
      <c r="X27" s="44" t="s">
        <v>41</v>
      </c>
      <c r="Y27" s="44" t="s">
        <v>42</v>
      </c>
      <c r="Z27" s="44" t="s">
        <v>43</v>
      </c>
      <c r="AA27" s="45" t="s">
        <v>102</v>
      </c>
      <c r="AB27" s="46" t="s">
        <v>45</v>
      </c>
    </row>
    <row r="28" spans="1:28" ht="85.5" customHeight="1" x14ac:dyDescent="0.25">
      <c r="A28" s="17" t="s">
        <v>141</v>
      </c>
      <c r="B28" s="18" t="s">
        <v>142</v>
      </c>
      <c r="C28" s="19" t="s">
        <v>147</v>
      </c>
      <c r="D28" s="48" t="s">
        <v>148</v>
      </c>
      <c r="E28" s="49">
        <v>43983</v>
      </c>
      <c r="F28" s="21" t="s">
        <v>149</v>
      </c>
      <c r="G28" s="21" t="s">
        <v>150</v>
      </c>
      <c r="H28" s="57">
        <v>21</v>
      </c>
      <c r="I28" s="92" t="s">
        <v>34</v>
      </c>
      <c r="J28" s="29" t="s">
        <v>133</v>
      </c>
      <c r="K28" s="29" t="s">
        <v>144</v>
      </c>
      <c r="L28" s="24" t="s">
        <v>145</v>
      </c>
      <c r="M28" s="26">
        <f t="shared" si="1"/>
        <v>13006235925.523809</v>
      </c>
      <c r="N28" s="26">
        <f t="shared" si="0"/>
        <v>873171048.52380955</v>
      </c>
      <c r="O28" s="75">
        <f>(33237028+221193904)+76699055</f>
        <v>331129987</v>
      </c>
      <c r="P28" s="75">
        <f>39484186.5238095+502556875</f>
        <v>542041061.52380955</v>
      </c>
      <c r="Q28" s="75">
        <v>7467828084</v>
      </c>
      <c r="R28" s="75">
        <v>4665236793</v>
      </c>
      <c r="S28" s="29" t="s">
        <v>38</v>
      </c>
      <c r="T28" s="29" t="s">
        <v>39</v>
      </c>
      <c r="U28" s="26"/>
      <c r="V28" s="29"/>
      <c r="W28" s="29" t="s">
        <v>146</v>
      </c>
      <c r="X28" s="29" t="s">
        <v>41</v>
      </c>
      <c r="Y28" s="29" t="s">
        <v>42</v>
      </c>
      <c r="Z28" s="29" t="s">
        <v>43</v>
      </c>
      <c r="AA28" s="30" t="s">
        <v>102</v>
      </c>
      <c r="AB28" s="31" t="s">
        <v>45</v>
      </c>
    </row>
    <row r="29" spans="1:28" ht="57" customHeight="1" x14ac:dyDescent="0.25">
      <c r="A29" s="32" t="s">
        <v>141</v>
      </c>
      <c r="B29" s="33">
        <v>92101501</v>
      </c>
      <c r="C29" s="34" t="s">
        <v>151</v>
      </c>
      <c r="D29" s="35">
        <v>44165</v>
      </c>
      <c r="E29" s="52"/>
      <c r="F29" s="37"/>
      <c r="G29" s="37"/>
      <c r="H29" s="55">
        <v>12</v>
      </c>
      <c r="I29" s="91" t="s">
        <v>34</v>
      </c>
      <c r="J29" s="40" t="s">
        <v>49</v>
      </c>
      <c r="K29" s="44" t="s">
        <v>152</v>
      </c>
      <c r="L29" s="40" t="s">
        <v>37</v>
      </c>
      <c r="M29" s="42">
        <f t="shared" si="1"/>
        <v>1462289151</v>
      </c>
      <c r="N29" s="42">
        <f t="shared" si="0"/>
        <v>1462289151</v>
      </c>
      <c r="O29" s="42">
        <v>784531275</v>
      </c>
      <c r="P29" s="42">
        <v>677757876</v>
      </c>
      <c r="Q29" s="42"/>
      <c r="R29" s="42"/>
      <c r="S29" s="44" t="s">
        <v>38</v>
      </c>
      <c r="T29" s="44" t="s">
        <v>39</v>
      </c>
      <c r="U29" s="42"/>
      <c r="V29" s="44" t="s">
        <v>51</v>
      </c>
      <c r="W29" s="44" t="s">
        <v>146</v>
      </c>
      <c r="X29" s="44" t="s">
        <v>41</v>
      </c>
      <c r="Y29" s="44" t="s">
        <v>42</v>
      </c>
      <c r="Z29" s="44" t="s">
        <v>43</v>
      </c>
      <c r="AA29" s="45" t="s">
        <v>61</v>
      </c>
      <c r="AB29" s="46" t="s">
        <v>45</v>
      </c>
    </row>
    <row r="30" spans="1:28" ht="42.75" customHeight="1" x14ac:dyDescent="0.25">
      <c r="A30" s="17" t="s">
        <v>141</v>
      </c>
      <c r="B30" s="18">
        <v>92101502</v>
      </c>
      <c r="C30" s="84" t="s">
        <v>153</v>
      </c>
      <c r="D30" s="84" t="s">
        <v>154</v>
      </c>
      <c r="E30" s="49">
        <v>43983</v>
      </c>
      <c r="F30" s="21" t="s">
        <v>149</v>
      </c>
      <c r="G30" s="21" t="s">
        <v>150</v>
      </c>
      <c r="H30" s="57"/>
      <c r="I30" s="92" t="s">
        <v>34</v>
      </c>
      <c r="J30" s="84" t="s">
        <v>54</v>
      </c>
      <c r="K30" s="29" t="s">
        <v>152</v>
      </c>
      <c r="L30" s="24" t="s">
        <v>100</v>
      </c>
      <c r="M30" s="26">
        <f t="shared" si="1"/>
        <v>1636300330.1099999</v>
      </c>
      <c r="N30" s="26">
        <f t="shared" si="0"/>
        <v>132708867</v>
      </c>
      <c r="O30" s="26">
        <f>71321025-14463294</f>
        <v>56857731</v>
      </c>
      <c r="P30" s="26">
        <f>58446228+17404908</f>
        <v>75851136</v>
      </c>
      <c r="Q30" s="26">
        <v>1503591463.1099999</v>
      </c>
      <c r="R30" s="26"/>
      <c r="S30" s="29" t="s">
        <v>38</v>
      </c>
      <c r="T30" s="29" t="s">
        <v>39</v>
      </c>
      <c r="U30" s="26"/>
      <c r="V30" s="29"/>
      <c r="W30" s="29" t="s">
        <v>146</v>
      </c>
      <c r="X30" s="29" t="s">
        <v>41</v>
      </c>
      <c r="Y30" s="29" t="s">
        <v>42</v>
      </c>
      <c r="Z30" s="29" t="s">
        <v>43</v>
      </c>
      <c r="AA30" s="30" t="s">
        <v>155</v>
      </c>
      <c r="AB30" s="31" t="s">
        <v>45</v>
      </c>
    </row>
    <row r="31" spans="1:28" s="6" customFormat="1" ht="42.75" customHeight="1" x14ac:dyDescent="0.25">
      <c r="A31" s="32" t="s">
        <v>156</v>
      </c>
      <c r="B31" s="33">
        <v>81112006</v>
      </c>
      <c r="C31" s="34" t="s">
        <v>157</v>
      </c>
      <c r="D31" s="35">
        <v>44074</v>
      </c>
      <c r="E31" s="52"/>
      <c r="F31" s="37"/>
      <c r="G31" s="37"/>
      <c r="H31" s="55"/>
      <c r="I31" s="39"/>
      <c r="J31" s="40" t="s">
        <v>49</v>
      </c>
      <c r="K31" s="40" t="s">
        <v>158</v>
      </c>
      <c r="L31" s="93" t="s">
        <v>37</v>
      </c>
      <c r="M31" s="42">
        <f t="shared" si="1"/>
        <v>911090463</v>
      </c>
      <c r="N31" s="42">
        <f t="shared" si="0"/>
        <v>911090463</v>
      </c>
      <c r="O31" s="94">
        <f>ROUND((618909239+297032146)*0.65,0)-3153099</f>
        <v>592208801</v>
      </c>
      <c r="P31" s="94">
        <f>ROUND((618909239+297032146)*0.35,0)-1697823</f>
        <v>318881662</v>
      </c>
      <c r="Q31" s="42"/>
      <c r="R31" s="42"/>
      <c r="S31" s="44" t="s">
        <v>38</v>
      </c>
      <c r="T31" s="44" t="s">
        <v>39</v>
      </c>
      <c r="U31" s="42"/>
      <c r="V31" s="44" t="s">
        <v>51</v>
      </c>
      <c r="W31" s="44" t="s">
        <v>159</v>
      </c>
      <c r="X31" s="44" t="s">
        <v>160</v>
      </c>
      <c r="Y31" s="44" t="s">
        <v>42</v>
      </c>
      <c r="Z31" s="44" t="s">
        <v>43</v>
      </c>
      <c r="AA31" s="45" t="s">
        <v>161</v>
      </c>
      <c r="AB31" s="89" t="s">
        <v>45</v>
      </c>
    </row>
    <row r="32" spans="1:28" s="6" customFormat="1" ht="57" customHeight="1" x14ac:dyDescent="0.25">
      <c r="A32" s="17" t="s">
        <v>156</v>
      </c>
      <c r="B32" s="18">
        <v>81112006</v>
      </c>
      <c r="C32" s="95" t="s">
        <v>162</v>
      </c>
      <c r="D32" s="48"/>
      <c r="E32" s="49">
        <v>43921</v>
      </c>
      <c r="F32" s="96" t="s">
        <v>77</v>
      </c>
      <c r="G32" s="96" t="s">
        <v>77</v>
      </c>
      <c r="H32" s="57">
        <v>24</v>
      </c>
      <c r="I32" s="23" t="s">
        <v>34</v>
      </c>
      <c r="J32" s="19" t="s">
        <v>163</v>
      </c>
      <c r="K32" s="24" t="s">
        <v>158</v>
      </c>
      <c r="L32" s="97" t="s">
        <v>37</v>
      </c>
      <c r="M32" s="26">
        <f t="shared" si="1"/>
        <v>9005649595</v>
      </c>
      <c r="N32" s="26">
        <f t="shared" si="0"/>
        <v>1830280033</v>
      </c>
      <c r="O32" s="26">
        <f>322818686+866863335</f>
        <v>1189682021</v>
      </c>
      <c r="P32" s="26">
        <f>173825446+466772566</f>
        <v>640598012</v>
      </c>
      <c r="Q32" s="26">
        <v>4604515227</v>
      </c>
      <c r="R32" s="26">
        <v>2570854335</v>
      </c>
      <c r="S32" s="29" t="s">
        <v>164</v>
      </c>
      <c r="T32" s="29" t="s">
        <v>165</v>
      </c>
      <c r="U32" s="26"/>
      <c r="V32" s="29"/>
      <c r="W32" s="29" t="s">
        <v>159</v>
      </c>
      <c r="X32" s="29" t="s">
        <v>160</v>
      </c>
      <c r="Y32" s="29" t="s">
        <v>42</v>
      </c>
      <c r="Z32" s="29" t="s">
        <v>43</v>
      </c>
      <c r="AA32" s="30" t="s">
        <v>161</v>
      </c>
      <c r="AB32" s="87" t="s">
        <v>45</v>
      </c>
    </row>
    <row r="33" spans="1:28" s="6" customFormat="1" ht="42.75" customHeight="1" x14ac:dyDescent="0.25">
      <c r="A33" s="32" t="s">
        <v>156</v>
      </c>
      <c r="B33" s="33">
        <v>81112006</v>
      </c>
      <c r="C33" s="34" t="s">
        <v>166</v>
      </c>
      <c r="D33" s="35">
        <v>44064</v>
      </c>
      <c r="E33" s="52"/>
      <c r="F33" s="37"/>
      <c r="G33" s="37"/>
      <c r="H33" s="55"/>
      <c r="I33" s="39"/>
      <c r="J33" s="40" t="s">
        <v>49</v>
      </c>
      <c r="K33" s="40" t="s">
        <v>158</v>
      </c>
      <c r="L33" s="93" t="s">
        <v>37</v>
      </c>
      <c r="M33" s="42">
        <f t="shared" si="1"/>
        <v>490746499</v>
      </c>
      <c r="N33" s="42">
        <f t="shared" si="0"/>
        <v>490746499</v>
      </c>
      <c r="O33" s="94">
        <f>+ROUND((487894288)*0.65,0)+1853937</f>
        <v>318985224</v>
      </c>
      <c r="P33" s="94">
        <f>+ROUND((487894288)*0.35,0)+998274</f>
        <v>171761275</v>
      </c>
      <c r="Q33" s="42"/>
      <c r="R33" s="42"/>
      <c r="S33" s="44" t="s">
        <v>38</v>
      </c>
      <c r="T33" s="44" t="s">
        <v>39</v>
      </c>
      <c r="U33" s="42"/>
      <c r="V33" s="44" t="s">
        <v>51</v>
      </c>
      <c r="W33" s="44" t="s">
        <v>159</v>
      </c>
      <c r="X33" s="44" t="s">
        <v>160</v>
      </c>
      <c r="Y33" s="44" t="s">
        <v>42</v>
      </c>
      <c r="Z33" s="44" t="s">
        <v>43</v>
      </c>
      <c r="AA33" s="45" t="s">
        <v>161</v>
      </c>
      <c r="AB33" s="89" t="s">
        <v>45</v>
      </c>
    </row>
    <row r="34" spans="1:28" s="6" customFormat="1" ht="42.75" customHeight="1" x14ac:dyDescent="0.25">
      <c r="A34" s="17" t="s">
        <v>156</v>
      </c>
      <c r="B34" s="18">
        <v>81112006</v>
      </c>
      <c r="C34" s="19" t="s">
        <v>167</v>
      </c>
      <c r="D34" s="48"/>
      <c r="E34" s="20">
        <v>44043</v>
      </c>
      <c r="F34" s="21"/>
      <c r="G34" s="21"/>
      <c r="H34" s="57"/>
      <c r="I34" s="23"/>
      <c r="J34" s="24" t="s">
        <v>116</v>
      </c>
      <c r="K34" s="24" t="s">
        <v>158</v>
      </c>
      <c r="L34" s="97" t="s">
        <v>37</v>
      </c>
      <c r="M34" s="26">
        <f>+N34+Q34+R34</f>
        <v>264547789</v>
      </c>
      <c r="N34" s="26">
        <f t="shared" si="0"/>
        <v>264547789</v>
      </c>
      <c r="O34" s="75">
        <f>78366063</f>
        <v>78366063</v>
      </c>
      <c r="P34" s="75">
        <v>186181726</v>
      </c>
      <c r="Q34" s="26"/>
      <c r="R34" s="26"/>
      <c r="S34" s="29" t="s">
        <v>38</v>
      </c>
      <c r="T34" s="29" t="s">
        <v>39</v>
      </c>
      <c r="U34" s="26"/>
      <c r="V34" s="29"/>
      <c r="W34" s="29" t="s">
        <v>159</v>
      </c>
      <c r="X34" s="29" t="s">
        <v>160</v>
      </c>
      <c r="Y34" s="29" t="s">
        <v>42</v>
      </c>
      <c r="Z34" s="29" t="s">
        <v>43</v>
      </c>
      <c r="AA34" s="30" t="s">
        <v>161</v>
      </c>
      <c r="AB34" s="87" t="s">
        <v>45</v>
      </c>
    </row>
    <row r="35" spans="1:28" s="6" customFormat="1" ht="60" customHeight="1" x14ac:dyDescent="0.25">
      <c r="A35" s="17" t="s">
        <v>156</v>
      </c>
      <c r="B35" s="18">
        <v>81112006</v>
      </c>
      <c r="C35" s="98" t="s">
        <v>168</v>
      </c>
      <c r="D35" s="48"/>
      <c r="E35" s="20">
        <v>44071</v>
      </c>
      <c r="F35" s="21" t="s">
        <v>150</v>
      </c>
      <c r="G35" s="21" t="s">
        <v>150</v>
      </c>
      <c r="H35" s="57">
        <v>20</v>
      </c>
      <c r="I35" s="23" t="s">
        <v>34</v>
      </c>
      <c r="J35" s="58" t="s">
        <v>163</v>
      </c>
      <c r="K35" s="24" t="s">
        <v>158</v>
      </c>
      <c r="L35" s="97" t="s">
        <v>37</v>
      </c>
      <c r="M35" s="26">
        <f t="shared" si="1"/>
        <v>1333634610</v>
      </c>
      <c r="N35" s="26">
        <f t="shared" si="0"/>
        <v>130000000</v>
      </c>
      <c r="O35" s="26">
        <v>39000000</v>
      </c>
      <c r="P35" s="26">
        <v>91000000</v>
      </c>
      <c r="Q35" s="26">
        <v>760190280</v>
      </c>
      <c r="R35" s="26">
        <v>443444330</v>
      </c>
      <c r="S35" s="29" t="s">
        <v>169</v>
      </c>
      <c r="T35" s="29" t="s">
        <v>165</v>
      </c>
      <c r="U35" s="26"/>
      <c r="V35" s="29"/>
      <c r="W35" s="29" t="s">
        <v>159</v>
      </c>
      <c r="X35" s="29" t="s">
        <v>160</v>
      </c>
      <c r="Y35" s="29" t="s">
        <v>42</v>
      </c>
      <c r="Z35" s="29" t="s">
        <v>43</v>
      </c>
      <c r="AA35" s="30" t="s">
        <v>161</v>
      </c>
      <c r="AB35" s="87" t="s">
        <v>45</v>
      </c>
    </row>
    <row r="36" spans="1:28" s="6" customFormat="1" ht="57" customHeight="1" x14ac:dyDescent="0.25">
      <c r="A36" s="32" t="s">
        <v>156</v>
      </c>
      <c r="B36" s="99">
        <v>43211500</v>
      </c>
      <c r="C36" s="34" t="s">
        <v>170</v>
      </c>
      <c r="D36" s="34"/>
      <c r="E36" s="52">
        <v>43875</v>
      </c>
      <c r="F36" s="44" t="s">
        <v>84</v>
      </c>
      <c r="G36" s="100" t="s">
        <v>77</v>
      </c>
      <c r="H36" s="55">
        <v>45</v>
      </c>
      <c r="I36" s="39" t="s">
        <v>171</v>
      </c>
      <c r="J36" s="34" t="s">
        <v>163</v>
      </c>
      <c r="K36" s="40" t="s">
        <v>172</v>
      </c>
      <c r="L36" s="40" t="s">
        <v>37</v>
      </c>
      <c r="M36" s="42">
        <f>+N36+Q36+R36</f>
        <v>267620408</v>
      </c>
      <c r="N36" s="42">
        <f t="shared" si="0"/>
        <v>267620408</v>
      </c>
      <c r="O36" s="93">
        <f>276250000-102296734</f>
        <v>173953266</v>
      </c>
      <c r="P36" s="42">
        <f>148750000-55082858</f>
        <v>93667142</v>
      </c>
      <c r="Q36" s="101"/>
      <c r="R36" s="101"/>
      <c r="S36" s="44" t="s">
        <v>38</v>
      </c>
      <c r="T36" s="44" t="s">
        <v>39</v>
      </c>
      <c r="U36" s="42"/>
      <c r="V36" s="44" t="s">
        <v>93</v>
      </c>
      <c r="W36" s="44" t="s">
        <v>173</v>
      </c>
      <c r="X36" s="44" t="s">
        <v>160</v>
      </c>
      <c r="Y36" s="44" t="s">
        <v>42</v>
      </c>
      <c r="Z36" s="44" t="s">
        <v>43</v>
      </c>
      <c r="AA36" s="45" t="s">
        <v>161</v>
      </c>
      <c r="AB36" s="89" t="s">
        <v>45</v>
      </c>
    </row>
    <row r="37" spans="1:28" s="6" customFormat="1" ht="57" customHeight="1" x14ac:dyDescent="0.25">
      <c r="A37" s="32" t="s">
        <v>156</v>
      </c>
      <c r="B37" s="99">
        <v>43211500</v>
      </c>
      <c r="C37" s="34" t="s">
        <v>175</v>
      </c>
      <c r="D37" s="34"/>
      <c r="E37" s="52">
        <v>43875</v>
      </c>
      <c r="F37" s="44" t="s">
        <v>84</v>
      </c>
      <c r="G37" s="100" t="s">
        <v>77</v>
      </c>
      <c r="H37" s="55">
        <v>45</v>
      </c>
      <c r="I37" s="39" t="s">
        <v>171</v>
      </c>
      <c r="J37" s="34" t="s">
        <v>163</v>
      </c>
      <c r="K37" s="40" t="s">
        <v>172</v>
      </c>
      <c r="L37" s="40" t="s">
        <v>37</v>
      </c>
      <c r="M37" s="42">
        <f t="shared" si="1"/>
        <v>41890072</v>
      </c>
      <c r="N37" s="42">
        <f t="shared" si="0"/>
        <v>41890072</v>
      </c>
      <c r="O37" s="93">
        <f>34450000-7221453</f>
        <v>27228547</v>
      </c>
      <c r="P37" s="42">
        <f>18550000-3888475</f>
        <v>14661525</v>
      </c>
      <c r="Q37" s="88"/>
      <c r="R37" s="101"/>
      <c r="S37" s="44" t="s">
        <v>38</v>
      </c>
      <c r="T37" s="44" t="s">
        <v>39</v>
      </c>
      <c r="U37" s="42"/>
      <c r="V37" s="44" t="s">
        <v>93</v>
      </c>
      <c r="W37" s="44" t="s">
        <v>173</v>
      </c>
      <c r="X37" s="44" t="s">
        <v>160</v>
      </c>
      <c r="Y37" s="44" t="s">
        <v>42</v>
      </c>
      <c r="Z37" s="44" t="s">
        <v>43</v>
      </c>
      <c r="AA37" s="45" t="s">
        <v>161</v>
      </c>
      <c r="AB37" s="89" t="s">
        <v>45</v>
      </c>
    </row>
    <row r="38" spans="1:28" s="6" customFormat="1" ht="57" customHeight="1" x14ac:dyDescent="0.25">
      <c r="A38" s="32" t="s">
        <v>156</v>
      </c>
      <c r="B38" s="99">
        <v>43211500</v>
      </c>
      <c r="C38" s="34" t="s">
        <v>176</v>
      </c>
      <c r="D38" s="34"/>
      <c r="E38" s="52">
        <v>43875</v>
      </c>
      <c r="F38" s="44" t="s">
        <v>84</v>
      </c>
      <c r="G38" s="100" t="s">
        <v>77</v>
      </c>
      <c r="H38" s="55">
        <v>45</v>
      </c>
      <c r="I38" s="39" t="s">
        <v>171</v>
      </c>
      <c r="J38" s="34" t="s">
        <v>163</v>
      </c>
      <c r="K38" s="40" t="s">
        <v>172</v>
      </c>
      <c r="L38" s="40" t="s">
        <v>37</v>
      </c>
      <c r="M38" s="42">
        <f t="shared" si="1"/>
        <v>188597978</v>
      </c>
      <c r="N38" s="42">
        <f t="shared" si="0"/>
        <v>188597978</v>
      </c>
      <c r="O38" s="93">
        <f>149500000-26911314</f>
        <v>122588686</v>
      </c>
      <c r="P38" s="42">
        <f>80500000-14490708</f>
        <v>66009292</v>
      </c>
      <c r="Q38" s="88"/>
      <c r="R38" s="101"/>
      <c r="S38" s="44" t="s">
        <v>38</v>
      </c>
      <c r="T38" s="44" t="s">
        <v>39</v>
      </c>
      <c r="U38" s="42"/>
      <c r="V38" s="44" t="s">
        <v>93</v>
      </c>
      <c r="W38" s="44" t="s">
        <v>173</v>
      </c>
      <c r="X38" s="44" t="s">
        <v>160</v>
      </c>
      <c r="Y38" s="44" t="s">
        <v>42</v>
      </c>
      <c r="Z38" s="44" t="s">
        <v>43</v>
      </c>
      <c r="AA38" s="45" t="s">
        <v>161</v>
      </c>
      <c r="AB38" s="89" t="s">
        <v>45</v>
      </c>
    </row>
    <row r="39" spans="1:28" s="6" customFormat="1" ht="57" customHeight="1" x14ac:dyDescent="0.25">
      <c r="A39" s="32" t="s">
        <v>156</v>
      </c>
      <c r="B39" s="99">
        <v>43211711</v>
      </c>
      <c r="C39" s="34" t="s">
        <v>177</v>
      </c>
      <c r="D39" s="34"/>
      <c r="E39" s="52">
        <v>43889</v>
      </c>
      <c r="F39" s="104" t="s">
        <v>84</v>
      </c>
      <c r="G39" s="100" t="s">
        <v>77</v>
      </c>
      <c r="H39" s="105">
        <v>45</v>
      </c>
      <c r="I39" s="39" t="s">
        <v>171</v>
      </c>
      <c r="J39" s="34" t="s">
        <v>163</v>
      </c>
      <c r="K39" s="40" t="s">
        <v>172</v>
      </c>
      <c r="L39" s="40" t="s">
        <v>37</v>
      </c>
      <c r="M39" s="42">
        <f t="shared" si="1"/>
        <v>25210846</v>
      </c>
      <c r="N39" s="42">
        <f t="shared" si="0"/>
        <v>25210846</v>
      </c>
      <c r="O39" s="106">
        <f>26000000-9612949</f>
        <v>16387051</v>
      </c>
      <c r="P39" s="42">
        <f>14000000-5176205</f>
        <v>8823795</v>
      </c>
      <c r="Q39" s="101"/>
      <c r="R39" s="101"/>
      <c r="S39" s="44" t="s">
        <v>38</v>
      </c>
      <c r="T39" s="44" t="s">
        <v>39</v>
      </c>
      <c r="U39" s="42"/>
      <c r="V39" s="44" t="s">
        <v>93</v>
      </c>
      <c r="W39" s="44" t="s">
        <v>173</v>
      </c>
      <c r="X39" s="44" t="s">
        <v>160</v>
      </c>
      <c r="Y39" s="44" t="s">
        <v>42</v>
      </c>
      <c r="Z39" s="44" t="s">
        <v>43</v>
      </c>
      <c r="AA39" s="45" t="s">
        <v>161</v>
      </c>
      <c r="AB39" s="89" t="s">
        <v>45</v>
      </c>
    </row>
    <row r="40" spans="1:28" s="6" customFormat="1" ht="57" customHeight="1" x14ac:dyDescent="0.25">
      <c r="A40" s="32" t="s">
        <v>156</v>
      </c>
      <c r="B40" s="99">
        <v>43212105</v>
      </c>
      <c r="C40" s="34" t="s">
        <v>178</v>
      </c>
      <c r="D40" s="34"/>
      <c r="E40" s="52">
        <v>43889</v>
      </c>
      <c r="F40" s="104" t="s">
        <v>84</v>
      </c>
      <c r="G40" s="100" t="s">
        <v>77</v>
      </c>
      <c r="H40" s="105">
        <v>45</v>
      </c>
      <c r="I40" s="39" t="s">
        <v>171</v>
      </c>
      <c r="J40" s="34" t="s">
        <v>163</v>
      </c>
      <c r="K40" s="40" t="s">
        <v>172</v>
      </c>
      <c r="L40" s="40" t="s">
        <v>37</v>
      </c>
      <c r="M40" s="42">
        <f t="shared" si="1"/>
        <v>434771371</v>
      </c>
      <c r="N40" s="42">
        <f t="shared" si="0"/>
        <v>434771371</v>
      </c>
      <c r="O40" s="106">
        <f>510900000-228298609</f>
        <v>282601391</v>
      </c>
      <c r="P40" s="42">
        <f>275100000-122930020</f>
        <v>152169980</v>
      </c>
      <c r="Q40" s="101"/>
      <c r="R40" s="101"/>
      <c r="S40" s="44" t="s">
        <v>38</v>
      </c>
      <c r="T40" s="44" t="s">
        <v>39</v>
      </c>
      <c r="U40" s="42"/>
      <c r="V40" s="44" t="s">
        <v>93</v>
      </c>
      <c r="W40" s="44" t="s">
        <v>173</v>
      </c>
      <c r="X40" s="44" t="s">
        <v>160</v>
      </c>
      <c r="Y40" s="44" t="s">
        <v>42</v>
      </c>
      <c r="Z40" s="44" t="s">
        <v>43</v>
      </c>
      <c r="AA40" s="45" t="s">
        <v>161</v>
      </c>
      <c r="AB40" s="89" t="s">
        <v>45</v>
      </c>
    </row>
    <row r="41" spans="1:28" s="6" customFormat="1" ht="42.75" customHeight="1" x14ac:dyDescent="0.25">
      <c r="A41" s="17" t="s">
        <v>156</v>
      </c>
      <c r="B41" s="102">
        <v>81112006</v>
      </c>
      <c r="C41" s="19" t="s">
        <v>179</v>
      </c>
      <c r="D41" s="19"/>
      <c r="E41" s="20">
        <v>44012</v>
      </c>
      <c r="F41" s="81" t="s">
        <v>180</v>
      </c>
      <c r="G41" s="110" t="s">
        <v>149</v>
      </c>
      <c r="H41" s="108">
        <v>140</v>
      </c>
      <c r="I41" s="23" t="s">
        <v>29</v>
      </c>
      <c r="J41" s="19" t="s">
        <v>133</v>
      </c>
      <c r="K41" s="24" t="s">
        <v>181</v>
      </c>
      <c r="L41" s="24" t="s">
        <v>37</v>
      </c>
      <c r="M41" s="26">
        <f t="shared" si="1"/>
        <v>377878572</v>
      </c>
      <c r="N41" s="26">
        <f t="shared" si="0"/>
        <v>377878572</v>
      </c>
      <c r="O41" s="26">
        <v>113363572</v>
      </c>
      <c r="P41" s="26">
        <v>264515000</v>
      </c>
      <c r="Q41" s="103"/>
      <c r="R41" s="103"/>
      <c r="S41" s="111" t="s">
        <v>38</v>
      </c>
      <c r="T41" s="29" t="s">
        <v>39</v>
      </c>
      <c r="U41" s="26"/>
      <c r="V41" s="29"/>
      <c r="W41" s="29" t="s">
        <v>182</v>
      </c>
      <c r="X41" s="29" t="s">
        <v>160</v>
      </c>
      <c r="Y41" s="29" t="s">
        <v>42</v>
      </c>
      <c r="Z41" s="29" t="s">
        <v>43</v>
      </c>
      <c r="AA41" s="30" t="s">
        <v>161</v>
      </c>
      <c r="AB41" s="87" t="s">
        <v>45</v>
      </c>
    </row>
    <row r="42" spans="1:28" s="6" customFormat="1" ht="57" customHeight="1" x14ac:dyDescent="0.25">
      <c r="A42" s="59" t="s">
        <v>156</v>
      </c>
      <c r="B42" s="112">
        <v>45121504</v>
      </c>
      <c r="C42" s="61" t="s">
        <v>183</v>
      </c>
      <c r="D42" s="61"/>
      <c r="E42" s="77">
        <v>43951</v>
      </c>
      <c r="F42" s="113" t="s">
        <v>84</v>
      </c>
      <c r="G42" s="64" t="s">
        <v>77</v>
      </c>
      <c r="H42" s="114">
        <v>45</v>
      </c>
      <c r="I42" s="66" t="s">
        <v>171</v>
      </c>
      <c r="J42" s="61" t="s">
        <v>67</v>
      </c>
      <c r="K42" s="82" t="s">
        <v>172</v>
      </c>
      <c r="L42" s="82" t="s">
        <v>37</v>
      </c>
      <c r="M42" s="69">
        <f t="shared" si="1"/>
        <v>198000000</v>
      </c>
      <c r="N42" s="69">
        <f t="shared" si="0"/>
        <v>198000000</v>
      </c>
      <c r="O42" s="115">
        <v>128700000</v>
      </c>
      <c r="P42" s="69">
        <v>69300000</v>
      </c>
      <c r="Q42" s="116"/>
      <c r="R42" s="116"/>
      <c r="S42" s="63" t="s">
        <v>38</v>
      </c>
      <c r="T42" s="63" t="s">
        <v>39</v>
      </c>
      <c r="U42" s="69"/>
      <c r="V42" s="63" t="s">
        <v>69</v>
      </c>
      <c r="W42" s="63" t="s">
        <v>184</v>
      </c>
      <c r="X42" s="63" t="s">
        <v>160</v>
      </c>
      <c r="Y42" s="63" t="s">
        <v>42</v>
      </c>
      <c r="Z42" s="63" t="s">
        <v>43</v>
      </c>
      <c r="AA42" s="72" t="s">
        <v>161</v>
      </c>
      <c r="AB42" s="117" t="s">
        <v>45</v>
      </c>
    </row>
    <row r="43" spans="1:28" s="6" customFormat="1" ht="57" customHeight="1" x14ac:dyDescent="0.25">
      <c r="A43" s="17" t="s">
        <v>156</v>
      </c>
      <c r="B43" s="18">
        <v>43211902</v>
      </c>
      <c r="C43" s="118" t="s">
        <v>185</v>
      </c>
      <c r="D43" s="118"/>
      <c r="E43" s="20">
        <v>44012</v>
      </c>
      <c r="F43" s="81" t="s">
        <v>180</v>
      </c>
      <c r="G43" s="110" t="s">
        <v>149</v>
      </c>
      <c r="H43" s="108">
        <v>60</v>
      </c>
      <c r="I43" s="23" t="s">
        <v>171</v>
      </c>
      <c r="J43" s="119" t="s">
        <v>67</v>
      </c>
      <c r="K43" s="24" t="s">
        <v>172</v>
      </c>
      <c r="L43" s="24" t="s">
        <v>37</v>
      </c>
      <c r="M43" s="26">
        <f t="shared" si="1"/>
        <v>81730000</v>
      </c>
      <c r="N43" s="26">
        <f t="shared" si="0"/>
        <v>81730000</v>
      </c>
      <c r="O43" s="109">
        <v>24519000</v>
      </c>
      <c r="P43" s="26">
        <v>57211000</v>
      </c>
      <c r="Q43" s="103"/>
      <c r="R43" s="103"/>
      <c r="S43" s="29" t="s">
        <v>38</v>
      </c>
      <c r="T43" s="29" t="s">
        <v>39</v>
      </c>
      <c r="U43" s="26"/>
      <c r="V43" s="29"/>
      <c r="W43" s="29" t="s">
        <v>182</v>
      </c>
      <c r="X43" s="29" t="s">
        <v>160</v>
      </c>
      <c r="Y43" s="29" t="s">
        <v>42</v>
      </c>
      <c r="Z43" s="29" t="s">
        <v>43</v>
      </c>
      <c r="AA43" s="30" t="s">
        <v>161</v>
      </c>
      <c r="AB43" s="87" t="s">
        <v>45</v>
      </c>
    </row>
    <row r="44" spans="1:28" s="121" customFormat="1" ht="128" customHeight="1" x14ac:dyDescent="0.25">
      <c r="A44" s="59" t="s">
        <v>156</v>
      </c>
      <c r="B44" s="60">
        <v>43223306</v>
      </c>
      <c r="C44" s="61" t="s">
        <v>186</v>
      </c>
      <c r="D44" s="61"/>
      <c r="E44" s="77">
        <v>44012</v>
      </c>
      <c r="F44" s="113" t="s">
        <v>180</v>
      </c>
      <c r="G44" s="64" t="s">
        <v>149</v>
      </c>
      <c r="H44" s="60">
        <v>4</v>
      </c>
      <c r="I44" s="66" t="s">
        <v>34</v>
      </c>
      <c r="J44" s="61" t="s">
        <v>187</v>
      </c>
      <c r="K44" s="82" t="s">
        <v>172</v>
      </c>
      <c r="L44" s="82" t="s">
        <v>37</v>
      </c>
      <c r="M44" s="69">
        <f t="shared" si="1"/>
        <v>2420279669</v>
      </c>
      <c r="N44" s="69">
        <f t="shared" si="0"/>
        <v>2420279669</v>
      </c>
      <c r="O44" s="120">
        <v>726083901</v>
      </c>
      <c r="P44" s="69">
        <v>1694195768</v>
      </c>
      <c r="Q44" s="69"/>
      <c r="R44" s="69"/>
      <c r="S44" s="63" t="s">
        <v>38</v>
      </c>
      <c r="T44" s="63" t="s">
        <v>39</v>
      </c>
      <c r="U44" s="69"/>
      <c r="V44" s="63" t="s">
        <v>69</v>
      </c>
      <c r="W44" s="63" t="s">
        <v>188</v>
      </c>
      <c r="X44" s="63" t="s">
        <v>160</v>
      </c>
      <c r="Y44" s="63" t="s">
        <v>42</v>
      </c>
      <c r="Z44" s="63" t="s">
        <v>43</v>
      </c>
      <c r="AA44" s="72" t="s">
        <v>161</v>
      </c>
      <c r="AB44" s="117" t="s">
        <v>45</v>
      </c>
    </row>
    <row r="45" spans="1:28" s="6" customFormat="1" ht="57" customHeight="1" x14ac:dyDescent="0.25">
      <c r="A45" s="17" t="s">
        <v>156</v>
      </c>
      <c r="B45" s="18">
        <v>81112501</v>
      </c>
      <c r="C45" s="118" t="s">
        <v>189</v>
      </c>
      <c r="D45" s="118"/>
      <c r="E45" s="49">
        <v>44012</v>
      </c>
      <c r="F45" s="56" t="s">
        <v>180</v>
      </c>
      <c r="G45" s="122" t="s">
        <v>53</v>
      </c>
      <c r="H45" s="18">
        <v>12</v>
      </c>
      <c r="I45" s="23" t="s">
        <v>34</v>
      </c>
      <c r="J45" s="19" t="s">
        <v>163</v>
      </c>
      <c r="K45" s="24" t="s">
        <v>190</v>
      </c>
      <c r="L45" s="24" t="s">
        <v>37</v>
      </c>
      <c r="M45" s="26">
        <f t="shared" si="1"/>
        <v>964997181</v>
      </c>
      <c r="N45" s="26">
        <f t="shared" si="0"/>
        <v>964997181</v>
      </c>
      <c r="O45" s="26">
        <v>289499154</v>
      </c>
      <c r="P45" s="26">
        <v>675498027</v>
      </c>
      <c r="Q45" s="26"/>
      <c r="R45" s="26"/>
      <c r="S45" s="29" t="s">
        <v>38</v>
      </c>
      <c r="T45" s="29" t="s">
        <v>39</v>
      </c>
      <c r="U45" s="26"/>
      <c r="V45" s="29"/>
      <c r="W45" s="29" t="s">
        <v>191</v>
      </c>
      <c r="X45" s="29" t="s">
        <v>160</v>
      </c>
      <c r="Y45" s="29" t="s">
        <v>42</v>
      </c>
      <c r="Z45" s="29" t="s">
        <v>43</v>
      </c>
      <c r="AA45" s="30" t="s">
        <v>161</v>
      </c>
      <c r="AB45" s="87" t="s">
        <v>45</v>
      </c>
    </row>
    <row r="46" spans="1:28" s="6" customFormat="1" ht="57" customHeight="1" x14ac:dyDescent="0.25">
      <c r="A46" s="17" t="s">
        <v>156</v>
      </c>
      <c r="B46" s="18">
        <v>81112501</v>
      </c>
      <c r="C46" s="118" t="s">
        <v>192</v>
      </c>
      <c r="D46" s="118"/>
      <c r="E46" s="49">
        <v>44012</v>
      </c>
      <c r="F46" s="122" t="s">
        <v>33</v>
      </c>
      <c r="G46" s="122" t="s">
        <v>180</v>
      </c>
      <c r="H46" s="18">
        <v>12</v>
      </c>
      <c r="I46" s="23" t="s">
        <v>34</v>
      </c>
      <c r="J46" s="19" t="s">
        <v>67</v>
      </c>
      <c r="K46" s="24" t="s">
        <v>190</v>
      </c>
      <c r="L46" s="24" t="s">
        <v>37</v>
      </c>
      <c r="M46" s="26">
        <f t="shared" si="1"/>
        <v>246128127</v>
      </c>
      <c r="N46" s="26">
        <f t="shared" si="0"/>
        <v>246128127</v>
      </c>
      <c r="O46" s="123">
        <v>73838438</v>
      </c>
      <c r="P46" s="109">
        <v>172289689</v>
      </c>
      <c r="Q46" s="26"/>
      <c r="R46" s="26"/>
      <c r="S46" s="29" t="s">
        <v>38</v>
      </c>
      <c r="T46" s="29" t="s">
        <v>39</v>
      </c>
      <c r="U46" s="26"/>
      <c r="V46" s="29"/>
      <c r="W46" s="29" t="s">
        <v>191</v>
      </c>
      <c r="X46" s="29" t="s">
        <v>160</v>
      </c>
      <c r="Y46" s="29" t="s">
        <v>42</v>
      </c>
      <c r="Z46" s="29" t="s">
        <v>43</v>
      </c>
      <c r="AA46" s="30" t="s">
        <v>161</v>
      </c>
      <c r="AB46" s="87" t="s">
        <v>45</v>
      </c>
    </row>
    <row r="47" spans="1:28" s="6" customFormat="1" ht="57" customHeight="1" x14ac:dyDescent="0.25">
      <c r="A47" s="17" t="s">
        <v>156</v>
      </c>
      <c r="B47" s="18">
        <v>81112501</v>
      </c>
      <c r="C47" s="118" t="s">
        <v>193</v>
      </c>
      <c r="D47" s="118"/>
      <c r="E47" s="20">
        <v>44048</v>
      </c>
      <c r="F47" s="81" t="s">
        <v>150</v>
      </c>
      <c r="G47" s="56" t="s">
        <v>194</v>
      </c>
      <c r="H47" s="18">
        <v>12</v>
      </c>
      <c r="I47" s="23" t="s">
        <v>34</v>
      </c>
      <c r="J47" s="19" t="s">
        <v>67</v>
      </c>
      <c r="K47" s="24" t="s">
        <v>190</v>
      </c>
      <c r="L47" s="24" t="s">
        <v>37</v>
      </c>
      <c r="M47" s="26">
        <f t="shared" si="1"/>
        <v>247501759</v>
      </c>
      <c r="N47" s="26">
        <f t="shared" si="0"/>
        <v>247501759</v>
      </c>
      <c r="O47" s="26">
        <v>74250528</v>
      </c>
      <c r="P47" s="97">
        <v>173251231</v>
      </c>
      <c r="Q47" s="26"/>
      <c r="R47" s="26"/>
      <c r="S47" s="29" t="s">
        <v>38</v>
      </c>
      <c r="T47" s="29" t="s">
        <v>39</v>
      </c>
      <c r="U47" s="26"/>
      <c r="V47" s="29"/>
      <c r="W47" s="29" t="s">
        <v>191</v>
      </c>
      <c r="X47" s="29" t="s">
        <v>160</v>
      </c>
      <c r="Y47" s="29" t="s">
        <v>42</v>
      </c>
      <c r="Z47" s="29" t="s">
        <v>43</v>
      </c>
      <c r="AA47" s="30" t="s">
        <v>161</v>
      </c>
      <c r="AB47" s="87" t="s">
        <v>45</v>
      </c>
    </row>
    <row r="48" spans="1:28" s="6" customFormat="1" ht="57" customHeight="1" x14ac:dyDescent="0.25">
      <c r="A48" s="17" t="s">
        <v>156</v>
      </c>
      <c r="B48" s="18">
        <v>81112501</v>
      </c>
      <c r="C48" s="118" t="s">
        <v>195</v>
      </c>
      <c r="D48" s="118"/>
      <c r="E48" s="20">
        <v>44048</v>
      </c>
      <c r="F48" s="81" t="s">
        <v>150</v>
      </c>
      <c r="G48" s="56" t="s">
        <v>194</v>
      </c>
      <c r="H48" s="18">
        <v>12</v>
      </c>
      <c r="I48" s="23" t="s">
        <v>34</v>
      </c>
      <c r="J48" s="19" t="s">
        <v>67</v>
      </c>
      <c r="K48" s="24" t="s">
        <v>190</v>
      </c>
      <c r="L48" s="24" t="s">
        <v>37</v>
      </c>
      <c r="M48" s="26">
        <f t="shared" si="1"/>
        <v>79021759</v>
      </c>
      <c r="N48" s="26">
        <f t="shared" si="0"/>
        <v>79021759</v>
      </c>
      <c r="O48" s="26">
        <v>23706528</v>
      </c>
      <c r="P48" s="97">
        <v>55315231</v>
      </c>
      <c r="Q48" s="26"/>
      <c r="R48" s="26"/>
      <c r="S48" s="29" t="s">
        <v>38</v>
      </c>
      <c r="T48" s="29" t="s">
        <v>39</v>
      </c>
      <c r="U48" s="26"/>
      <c r="V48" s="29"/>
      <c r="W48" s="29" t="s">
        <v>191</v>
      </c>
      <c r="X48" s="29" t="s">
        <v>160</v>
      </c>
      <c r="Y48" s="29" t="s">
        <v>42</v>
      </c>
      <c r="Z48" s="29" t="s">
        <v>43</v>
      </c>
      <c r="AA48" s="30" t="s">
        <v>161</v>
      </c>
      <c r="AB48" s="87" t="s">
        <v>45</v>
      </c>
    </row>
    <row r="49" spans="1:28" s="6" customFormat="1" ht="57" customHeight="1" x14ac:dyDescent="0.25">
      <c r="A49" s="17" t="s">
        <v>156</v>
      </c>
      <c r="B49" s="18">
        <v>81112501</v>
      </c>
      <c r="C49" s="118" t="s">
        <v>196</v>
      </c>
      <c r="D49" s="118"/>
      <c r="E49" s="20">
        <v>43987</v>
      </c>
      <c r="F49" s="81" t="s">
        <v>180</v>
      </c>
      <c r="G49" s="110" t="s">
        <v>149</v>
      </c>
      <c r="H49" s="18">
        <v>12</v>
      </c>
      <c r="I49" s="23" t="s">
        <v>34</v>
      </c>
      <c r="J49" s="19" t="s">
        <v>163</v>
      </c>
      <c r="K49" s="24" t="s">
        <v>190</v>
      </c>
      <c r="L49" s="24" t="s">
        <v>37</v>
      </c>
      <c r="M49" s="26">
        <f t="shared" si="1"/>
        <v>98459998</v>
      </c>
      <c r="N49" s="26">
        <f t="shared" si="0"/>
        <v>98459998</v>
      </c>
      <c r="O49" s="26">
        <f>34709365-5171366</f>
        <v>29537999</v>
      </c>
      <c r="P49" s="97">
        <f>80988519-12066520</f>
        <v>68921999</v>
      </c>
      <c r="Q49" s="26"/>
      <c r="R49" s="26"/>
      <c r="S49" s="29" t="s">
        <v>38</v>
      </c>
      <c r="T49" s="29" t="s">
        <v>39</v>
      </c>
      <c r="U49" s="26"/>
      <c r="V49" s="29"/>
      <c r="W49" s="29" t="s">
        <v>182</v>
      </c>
      <c r="X49" s="29" t="s">
        <v>160</v>
      </c>
      <c r="Y49" s="29" t="s">
        <v>42</v>
      </c>
      <c r="Z49" s="29" t="s">
        <v>43</v>
      </c>
      <c r="AA49" s="30" t="s">
        <v>161</v>
      </c>
      <c r="AB49" s="87" t="s">
        <v>45</v>
      </c>
    </row>
    <row r="50" spans="1:28" s="6" customFormat="1" ht="57" customHeight="1" x14ac:dyDescent="0.25">
      <c r="A50" s="32" t="s">
        <v>156</v>
      </c>
      <c r="B50" s="33">
        <v>81112501</v>
      </c>
      <c r="C50" s="90" t="s">
        <v>197</v>
      </c>
      <c r="D50" s="90"/>
      <c r="E50" s="36">
        <v>43830</v>
      </c>
      <c r="F50" s="124" t="s">
        <v>139</v>
      </c>
      <c r="G50" s="124" t="s">
        <v>91</v>
      </c>
      <c r="H50" s="33">
        <v>12</v>
      </c>
      <c r="I50" s="39" t="s">
        <v>34</v>
      </c>
      <c r="J50" s="34" t="s">
        <v>35</v>
      </c>
      <c r="K50" s="40" t="s">
        <v>190</v>
      </c>
      <c r="L50" s="40" t="s">
        <v>37</v>
      </c>
      <c r="M50" s="42">
        <f t="shared" si="1"/>
        <v>46581360</v>
      </c>
      <c r="N50" s="42">
        <f t="shared" si="0"/>
        <v>46581360</v>
      </c>
      <c r="O50" s="125">
        <f>30290000-12116</f>
        <v>30277884</v>
      </c>
      <c r="P50" s="93">
        <f>16310000-6524</f>
        <v>16303476</v>
      </c>
      <c r="Q50" s="42"/>
      <c r="R50" s="42"/>
      <c r="S50" s="44" t="s">
        <v>38</v>
      </c>
      <c r="T50" s="44" t="s">
        <v>39</v>
      </c>
      <c r="U50" s="42"/>
      <c r="V50" s="44" t="s">
        <v>51</v>
      </c>
      <c r="W50" s="44" t="s">
        <v>198</v>
      </c>
      <c r="X50" s="44" t="s">
        <v>160</v>
      </c>
      <c r="Y50" s="44" t="s">
        <v>42</v>
      </c>
      <c r="Z50" s="44" t="s">
        <v>43</v>
      </c>
      <c r="AA50" s="45" t="s">
        <v>161</v>
      </c>
      <c r="AB50" s="89" t="s">
        <v>45</v>
      </c>
    </row>
    <row r="51" spans="1:28" s="6" customFormat="1" ht="57" customHeight="1" x14ac:dyDescent="0.25">
      <c r="A51" s="17" t="s">
        <v>156</v>
      </c>
      <c r="B51" s="18">
        <v>81112501</v>
      </c>
      <c r="C51" s="118" t="s">
        <v>199</v>
      </c>
      <c r="D51" s="118"/>
      <c r="E51" s="20">
        <v>44048</v>
      </c>
      <c r="F51" s="81" t="s">
        <v>150</v>
      </c>
      <c r="G51" s="56" t="s">
        <v>194</v>
      </c>
      <c r="H51" s="18">
        <v>12</v>
      </c>
      <c r="I51" s="23" t="s">
        <v>34</v>
      </c>
      <c r="J51" s="19" t="s">
        <v>67</v>
      </c>
      <c r="K51" s="24" t="s">
        <v>190</v>
      </c>
      <c r="L51" s="24" t="s">
        <v>37</v>
      </c>
      <c r="M51" s="26">
        <f t="shared" si="1"/>
        <v>161696759</v>
      </c>
      <c r="N51" s="26">
        <f t="shared" si="0"/>
        <v>161696759</v>
      </c>
      <c r="O51" s="123">
        <v>48509028</v>
      </c>
      <c r="P51" s="97">
        <v>113187731</v>
      </c>
      <c r="Q51" s="26"/>
      <c r="R51" s="26"/>
      <c r="S51" s="29" t="s">
        <v>38</v>
      </c>
      <c r="T51" s="29" t="s">
        <v>39</v>
      </c>
      <c r="U51" s="26"/>
      <c r="V51" s="29"/>
      <c r="W51" s="29" t="s">
        <v>182</v>
      </c>
      <c r="X51" s="29" t="s">
        <v>160</v>
      </c>
      <c r="Y51" s="29" t="s">
        <v>42</v>
      </c>
      <c r="Z51" s="29" t="s">
        <v>43</v>
      </c>
      <c r="AA51" s="30" t="s">
        <v>161</v>
      </c>
      <c r="AB51" s="87" t="s">
        <v>45</v>
      </c>
    </row>
    <row r="52" spans="1:28" s="6" customFormat="1" ht="57" customHeight="1" x14ac:dyDescent="0.25">
      <c r="A52" s="17" t="s">
        <v>156</v>
      </c>
      <c r="B52" s="18">
        <v>81112501</v>
      </c>
      <c r="C52" s="118" t="s">
        <v>200</v>
      </c>
      <c r="D52" s="118"/>
      <c r="E52" s="49">
        <v>44012</v>
      </c>
      <c r="F52" s="29" t="s">
        <v>180</v>
      </c>
      <c r="G52" s="56" t="s">
        <v>180</v>
      </c>
      <c r="H52" s="18">
        <v>12</v>
      </c>
      <c r="I52" s="23" t="s">
        <v>34</v>
      </c>
      <c r="J52" s="19" t="s">
        <v>163</v>
      </c>
      <c r="K52" s="24" t="s">
        <v>190</v>
      </c>
      <c r="L52" s="24" t="s">
        <v>37</v>
      </c>
      <c r="M52" s="26">
        <f t="shared" si="1"/>
        <v>537250172</v>
      </c>
      <c r="N52" s="26">
        <f t="shared" si="0"/>
        <v>537250172</v>
      </c>
      <c r="O52" s="26">
        <v>161175052</v>
      </c>
      <c r="P52" s="26">
        <v>376075120</v>
      </c>
      <c r="Q52" s="26"/>
      <c r="R52" s="26"/>
      <c r="S52" s="29" t="s">
        <v>38</v>
      </c>
      <c r="T52" s="29" t="s">
        <v>39</v>
      </c>
      <c r="U52" s="26"/>
      <c r="V52" s="29"/>
      <c r="W52" s="29" t="s">
        <v>191</v>
      </c>
      <c r="X52" s="29" t="s">
        <v>160</v>
      </c>
      <c r="Y52" s="29" t="s">
        <v>42</v>
      </c>
      <c r="Z52" s="29" t="s">
        <v>43</v>
      </c>
      <c r="AA52" s="30" t="s">
        <v>161</v>
      </c>
      <c r="AB52" s="87" t="s">
        <v>45</v>
      </c>
    </row>
    <row r="53" spans="1:28" s="6" customFormat="1" ht="57" customHeight="1" x14ac:dyDescent="0.25">
      <c r="A53" s="17" t="s">
        <v>156</v>
      </c>
      <c r="B53" s="18">
        <v>81112501</v>
      </c>
      <c r="C53" s="19" t="s">
        <v>201</v>
      </c>
      <c r="D53" s="118"/>
      <c r="E53" s="49">
        <v>44012</v>
      </c>
      <c r="F53" s="29" t="s">
        <v>180</v>
      </c>
      <c r="G53" s="29" t="s">
        <v>180</v>
      </c>
      <c r="H53" s="18">
        <v>12</v>
      </c>
      <c r="I53" s="23" t="s">
        <v>34</v>
      </c>
      <c r="J53" s="19" t="s">
        <v>163</v>
      </c>
      <c r="K53" s="24" t="s">
        <v>190</v>
      </c>
      <c r="L53" s="24" t="s">
        <v>37</v>
      </c>
      <c r="M53" s="26">
        <f t="shared" si="1"/>
        <v>8773223</v>
      </c>
      <c r="N53" s="26">
        <f t="shared" si="0"/>
        <v>8773223</v>
      </c>
      <c r="O53" s="97">
        <v>2631967</v>
      </c>
      <c r="P53" s="97">
        <v>6141256</v>
      </c>
      <c r="Q53" s="26"/>
      <c r="R53" s="26"/>
      <c r="S53" s="29" t="s">
        <v>38</v>
      </c>
      <c r="T53" s="29" t="s">
        <v>39</v>
      </c>
      <c r="U53" s="26"/>
      <c r="V53" s="29"/>
      <c r="W53" s="29" t="s">
        <v>191</v>
      </c>
      <c r="X53" s="29" t="s">
        <v>160</v>
      </c>
      <c r="Y53" s="29" t="s">
        <v>42</v>
      </c>
      <c r="Z53" s="29" t="s">
        <v>43</v>
      </c>
      <c r="AA53" s="30" t="s">
        <v>161</v>
      </c>
      <c r="AB53" s="87" t="s">
        <v>45</v>
      </c>
    </row>
    <row r="54" spans="1:28" s="6" customFormat="1" ht="57" customHeight="1" x14ac:dyDescent="0.25">
      <c r="A54" s="17" t="s">
        <v>156</v>
      </c>
      <c r="B54" s="18">
        <v>81112501</v>
      </c>
      <c r="C54" s="19" t="s">
        <v>202</v>
      </c>
      <c r="D54" s="118"/>
      <c r="E54" s="20">
        <v>43987</v>
      </c>
      <c r="F54" s="81" t="s">
        <v>180</v>
      </c>
      <c r="G54" s="110" t="s">
        <v>149</v>
      </c>
      <c r="H54" s="18">
        <v>12</v>
      </c>
      <c r="I54" s="23" t="s">
        <v>34</v>
      </c>
      <c r="J54" s="19" t="s">
        <v>163</v>
      </c>
      <c r="K54" s="24" t="s">
        <v>190</v>
      </c>
      <c r="L54" s="24" t="s">
        <v>37</v>
      </c>
      <c r="M54" s="26">
        <f t="shared" si="1"/>
        <v>39605955</v>
      </c>
      <c r="N54" s="126">
        <f t="shared" si="0"/>
        <v>39605955</v>
      </c>
      <c r="O54" s="109">
        <v>11881786</v>
      </c>
      <c r="P54" s="97">
        <v>27724169</v>
      </c>
      <c r="Q54" s="26"/>
      <c r="R54" s="26"/>
      <c r="S54" s="29" t="s">
        <v>38</v>
      </c>
      <c r="T54" s="29" t="s">
        <v>39</v>
      </c>
      <c r="U54" s="26"/>
      <c r="V54" s="29"/>
      <c r="W54" s="29" t="s">
        <v>191</v>
      </c>
      <c r="X54" s="29" t="s">
        <v>160</v>
      </c>
      <c r="Y54" s="29" t="s">
        <v>42</v>
      </c>
      <c r="Z54" s="29" t="s">
        <v>43</v>
      </c>
      <c r="AA54" s="30" t="s">
        <v>161</v>
      </c>
      <c r="AB54" s="87" t="s">
        <v>45</v>
      </c>
    </row>
    <row r="55" spans="1:28" s="6" customFormat="1" ht="57" customHeight="1" x14ac:dyDescent="0.25">
      <c r="A55" s="17" t="s">
        <v>156</v>
      </c>
      <c r="B55" s="18">
        <v>81112501</v>
      </c>
      <c r="C55" s="19" t="s">
        <v>203</v>
      </c>
      <c r="D55" s="118"/>
      <c r="E55" s="20">
        <v>44074</v>
      </c>
      <c r="F55" s="107" t="s">
        <v>77</v>
      </c>
      <c r="G55" s="107" t="s">
        <v>53</v>
      </c>
      <c r="H55" s="18">
        <v>1</v>
      </c>
      <c r="I55" s="23" t="s">
        <v>34</v>
      </c>
      <c r="J55" s="19" t="s">
        <v>163</v>
      </c>
      <c r="K55" s="24" t="s">
        <v>190</v>
      </c>
      <c r="L55" s="24" t="s">
        <v>37</v>
      </c>
      <c r="M55" s="26">
        <f t="shared" si="1"/>
        <v>71181759</v>
      </c>
      <c r="N55" s="126">
        <f t="shared" ref="N55:N110" si="2">+P55+O55</f>
        <v>71181759</v>
      </c>
      <c r="O55" s="109">
        <v>21354528</v>
      </c>
      <c r="P55" s="97">
        <v>49827231</v>
      </c>
      <c r="Q55" s="26"/>
      <c r="R55" s="26"/>
      <c r="S55" s="29" t="s">
        <v>38</v>
      </c>
      <c r="T55" s="29" t="s">
        <v>39</v>
      </c>
      <c r="U55" s="26"/>
      <c r="V55" s="29"/>
      <c r="W55" s="29" t="s">
        <v>191</v>
      </c>
      <c r="X55" s="29" t="s">
        <v>160</v>
      </c>
      <c r="Y55" s="29" t="s">
        <v>42</v>
      </c>
      <c r="Z55" s="29" t="s">
        <v>43</v>
      </c>
      <c r="AA55" s="30" t="s">
        <v>161</v>
      </c>
      <c r="AB55" s="87" t="s">
        <v>45</v>
      </c>
    </row>
    <row r="56" spans="1:28" s="6" customFormat="1" ht="57" customHeight="1" x14ac:dyDescent="0.25">
      <c r="A56" s="32" t="s">
        <v>156</v>
      </c>
      <c r="B56" s="33">
        <v>81112501</v>
      </c>
      <c r="C56" s="90" t="s">
        <v>204</v>
      </c>
      <c r="D56" s="90"/>
      <c r="E56" s="52">
        <v>43889</v>
      </c>
      <c r="F56" s="44" t="s">
        <v>84</v>
      </c>
      <c r="G56" s="100" t="s">
        <v>77</v>
      </c>
      <c r="H56" s="33">
        <v>12</v>
      </c>
      <c r="I56" s="39" t="s">
        <v>34</v>
      </c>
      <c r="J56" s="34" t="s">
        <v>163</v>
      </c>
      <c r="K56" s="40" t="s">
        <v>190</v>
      </c>
      <c r="L56" s="40" t="s">
        <v>37</v>
      </c>
      <c r="M56" s="42">
        <f t="shared" si="1"/>
        <v>291064798</v>
      </c>
      <c r="N56" s="42">
        <f t="shared" si="2"/>
        <v>291064798</v>
      </c>
      <c r="O56" s="42">
        <f>208497849-19305730</f>
        <v>189192119</v>
      </c>
      <c r="P56" s="42">
        <f>112268073-10395394</f>
        <v>101872679</v>
      </c>
      <c r="Q56" s="42"/>
      <c r="R56" s="42"/>
      <c r="S56" s="44" t="s">
        <v>38</v>
      </c>
      <c r="T56" s="44" t="s">
        <v>39</v>
      </c>
      <c r="U56" s="42"/>
      <c r="V56" s="44" t="s">
        <v>93</v>
      </c>
      <c r="W56" s="44" t="s">
        <v>191</v>
      </c>
      <c r="X56" s="44" t="s">
        <v>160</v>
      </c>
      <c r="Y56" s="44" t="s">
        <v>42</v>
      </c>
      <c r="Z56" s="44" t="s">
        <v>43</v>
      </c>
      <c r="AA56" s="45" t="s">
        <v>161</v>
      </c>
      <c r="AB56" s="89" t="s">
        <v>45</v>
      </c>
    </row>
    <row r="57" spans="1:28" s="6" customFormat="1" ht="57" customHeight="1" x14ac:dyDescent="0.25">
      <c r="A57" s="59" t="s">
        <v>156</v>
      </c>
      <c r="B57" s="60">
        <v>81111811</v>
      </c>
      <c r="C57" s="127" t="s">
        <v>205</v>
      </c>
      <c r="D57" s="127"/>
      <c r="E57" s="77">
        <v>43951</v>
      </c>
      <c r="F57" s="63" t="s">
        <v>33</v>
      </c>
      <c r="G57" s="64" t="s">
        <v>180</v>
      </c>
      <c r="H57" s="60">
        <v>12</v>
      </c>
      <c r="I57" s="66" t="s">
        <v>34</v>
      </c>
      <c r="J57" s="61" t="s">
        <v>35</v>
      </c>
      <c r="K57" s="63" t="s">
        <v>206</v>
      </c>
      <c r="L57" s="82" t="s">
        <v>207</v>
      </c>
      <c r="M57" s="69">
        <f t="shared" si="1"/>
        <v>529173412</v>
      </c>
      <c r="N57" s="69">
        <f t="shared" si="2"/>
        <v>529173412</v>
      </c>
      <c r="O57" s="69">
        <v>158752024</v>
      </c>
      <c r="P57" s="69">
        <v>370421388</v>
      </c>
      <c r="Q57" s="69"/>
      <c r="R57" s="69"/>
      <c r="S57" s="63" t="s">
        <v>38</v>
      </c>
      <c r="T57" s="63" t="s">
        <v>39</v>
      </c>
      <c r="U57" s="69"/>
      <c r="V57" s="63" t="s">
        <v>69</v>
      </c>
      <c r="W57" s="63" t="s">
        <v>208</v>
      </c>
      <c r="X57" s="63" t="s">
        <v>160</v>
      </c>
      <c r="Y57" s="63" t="s">
        <v>42</v>
      </c>
      <c r="Z57" s="63" t="s">
        <v>43</v>
      </c>
      <c r="AA57" s="72" t="s">
        <v>161</v>
      </c>
      <c r="AB57" s="117" t="s">
        <v>45</v>
      </c>
    </row>
    <row r="58" spans="1:28" s="6" customFormat="1" ht="42.75" customHeight="1" x14ac:dyDescent="0.25">
      <c r="A58" s="32" t="s">
        <v>156</v>
      </c>
      <c r="B58" s="33">
        <v>81111811</v>
      </c>
      <c r="C58" s="34" t="s">
        <v>209</v>
      </c>
      <c r="D58" s="35">
        <v>44773</v>
      </c>
      <c r="E58" s="52"/>
      <c r="F58" s="37"/>
      <c r="G58" s="37"/>
      <c r="H58" s="55"/>
      <c r="I58" s="39"/>
      <c r="J58" s="40" t="s">
        <v>49</v>
      </c>
      <c r="K58" s="40" t="s">
        <v>181</v>
      </c>
      <c r="L58" s="93" t="s">
        <v>37</v>
      </c>
      <c r="M58" s="42">
        <f t="shared" si="1"/>
        <v>13694833606</v>
      </c>
      <c r="N58" s="42">
        <f t="shared" si="2"/>
        <v>5102501873</v>
      </c>
      <c r="O58" s="42">
        <f>5102501873*0.65</f>
        <v>3316626217.4500003</v>
      </c>
      <c r="P58" s="42">
        <f>5102501873*0.35</f>
        <v>1785875655.55</v>
      </c>
      <c r="Q58" s="42">
        <f>5262916643</f>
        <v>5262916643</v>
      </c>
      <c r="R58" s="42">
        <v>3329415090</v>
      </c>
      <c r="S58" s="44" t="s">
        <v>169</v>
      </c>
      <c r="T58" s="44" t="s">
        <v>210</v>
      </c>
      <c r="U58" s="42"/>
      <c r="V58" s="44" t="s">
        <v>51</v>
      </c>
      <c r="W58" s="44"/>
      <c r="X58" s="44" t="s">
        <v>160</v>
      </c>
      <c r="Y58" s="44" t="s">
        <v>42</v>
      </c>
      <c r="Z58" s="44" t="s">
        <v>43</v>
      </c>
      <c r="AA58" s="45" t="s">
        <v>161</v>
      </c>
      <c r="AB58" s="89" t="s">
        <v>45</v>
      </c>
    </row>
    <row r="59" spans="1:28" s="6" customFormat="1" ht="57" customHeight="1" x14ac:dyDescent="0.25">
      <c r="A59" s="32" t="s">
        <v>156</v>
      </c>
      <c r="B59" s="33">
        <v>81112501</v>
      </c>
      <c r="C59" s="34" t="s">
        <v>211</v>
      </c>
      <c r="D59" s="34"/>
      <c r="E59" s="52">
        <v>43847</v>
      </c>
      <c r="F59" s="44" t="s">
        <v>139</v>
      </c>
      <c r="G59" s="100" t="s">
        <v>91</v>
      </c>
      <c r="H59" s="33">
        <v>9</v>
      </c>
      <c r="I59" s="39" t="s">
        <v>34</v>
      </c>
      <c r="J59" s="34" t="s">
        <v>163</v>
      </c>
      <c r="K59" s="44" t="s">
        <v>181</v>
      </c>
      <c r="L59" s="40" t="s">
        <v>37</v>
      </c>
      <c r="M59" s="94">
        <f t="shared" si="1"/>
        <v>139096848</v>
      </c>
      <c r="N59" s="42">
        <f t="shared" si="2"/>
        <v>139096848</v>
      </c>
      <c r="O59" s="42">
        <f>99316103-8903152</f>
        <v>90412951</v>
      </c>
      <c r="P59" s="42">
        <v>48683897</v>
      </c>
      <c r="Q59" s="42"/>
      <c r="R59" s="42"/>
      <c r="S59" s="44" t="s">
        <v>38</v>
      </c>
      <c r="T59" s="44" t="s">
        <v>39</v>
      </c>
      <c r="U59" s="42"/>
      <c r="V59" s="44" t="s">
        <v>93</v>
      </c>
      <c r="W59" s="44" t="s">
        <v>212</v>
      </c>
      <c r="X59" s="44" t="s">
        <v>160</v>
      </c>
      <c r="Y59" s="44" t="s">
        <v>42</v>
      </c>
      <c r="Z59" s="44" t="s">
        <v>43</v>
      </c>
      <c r="AA59" s="45" t="s">
        <v>161</v>
      </c>
      <c r="AB59" s="89" t="s">
        <v>45</v>
      </c>
    </row>
    <row r="60" spans="1:28" s="6" customFormat="1" ht="57" customHeight="1" x14ac:dyDescent="0.25">
      <c r="A60" s="17" t="s">
        <v>156</v>
      </c>
      <c r="B60" s="18">
        <v>81112501</v>
      </c>
      <c r="C60" s="19" t="s">
        <v>213</v>
      </c>
      <c r="D60" s="19"/>
      <c r="E60" s="20">
        <v>44071</v>
      </c>
      <c r="F60" s="81" t="s">
        <v>150</v>
      </c>
      <c r="G60" s="56" t="s">
        <v>194</v>
      </c>
      <c r="H60" s="22">
        <v>45</v>
      </c>
      <c r="I60" s="23" t="s">
        <v>171</v>
      </c>
      <c r="J60" s="19" t="s">
        <v>214</v>
      </c>
      <c r="K60" s="24" t="s">
        <v>190</v>
      </c>
      <c r="L60" s="24" t="s">
        <v>37</v>
      </c>
      <c r="M60" s="26">
        <f t="shared" si="1"/>
        <v>10000000</v>
      </c>
      <c r="N60" s="26">
        <f t="shared" si="2"/>
        <v>10000000</v>
      </c>
      <c r="O60" s="109">
        <v>3000000</v>
      </c>
      <c r="P60" s="26">
        <v>7000000</v>
      </c>
      <c r="Q60" s="26"/>
      <c r="R60" s="26"/>
      <c r="S60" s="29" t="s">
        <v>38</v>
      </c>
      <c r="T60" s="29" t="s">
        <v>39</v>
      </c>
      <c r="U60" s="26"/>
      <c r="V60" s="29"/>
      <c r="W60" s="29" t="s">
        <v>215</v>
      </c>
      <c r="X60" s="29" t="s">
        <v>160</v>
      </c>
      <c r="Y60" s="29" t="s">
        <v>42</v>
      </c>
      <c r="Z60" s="29" t="s">
        <v>43</v>
      </c>
      <c r="AA60" s="30" t="s">
        <v>161</v>
      </c>
      <c r="AB60" s="87" t="s">
        <v>45</v>
      </c>
    </row>
    <row r="61" spans="1:28" s="137" customFormat="1" ht="113.25" customHeight="1" x14ac:dyDescent="0.25">
      <c r="A61" s="32" t="s">
        <v>216</v>
      </c>
      <c r="B61" s="128" t="s">
        <v>217</v>
      </c>
      <c r="C61" s="129" t="s">
        <v>218</v>
      </c>
      <c r="D61" s="129"/>
      <c r="E61" s="52">
        <v>43846</v>
      </c>
      <c r="F61" s="37" t="s">
        <v>91</v>
      </c>
      <c r="G61" s="100" t="s">
        <v>84</v>
      </c>
      <c r="H61" s="53">
        <v>9</v>
      </c>
      <c r="I61" s="39" t="s">
        <v>34</v>
      </c>
      <c r="J61" s="130" t="s">
        <v>214</v>
      </c>
      <c r="K61" s="129" t="s">
        <v>218</v>
      </c>
      <c r="L61" s="130" t="s">
        <v>219</v>
      </c>
      <c r="M61" s="42">
        <f t="shared" si="1"/>
        <v>1832094</v>
      </c>
      <c r="N61" s="42">
        <f t="shared" si="2"/>
        <v>1832094</v>
      </c>
      <c r="O61" s="131">
        <f>2185454-353360</f>
        <v>1832094</v>
      </c>
      <c r="P61" s="131"/>
      <c r="Q61" s="131"/>
      <c r="R61" s="131"/>
      <c r="S61" s="132" t="s">
        <v>38</v>
      </c>
      <c r="T61" s="133" t="s">
        <v>39</v>
      </c>
      <c r="U61" s="134"/>
      <c r="V61" s="133" t="s">
        <v>93</v>
      </c>
      <c r="W61" s="128" t="s">
        <v>220</v>
      </c>
      <c r="X61" s="135" t="s">
        <v>160</v>
      </c>
      <c r="Y61" s="133" t="s">
        <v>221</v>
      </c>
      <c r="Z61" s="133" t="s">
        <v>43</v>
      </c>
      <c r="AA61" s="133" t="s">
        <v>161</v>
      </c>
      <c r="AB61" s="136" t="s">
        <v>45</v>
      </c>
    </row>
    <row r="62" spans="1:28" ht="57" customHeight="1" x14ac:dyDescent="0.25">
      <c r="A62" s="59" t="s">
        <v>216</v>
      </c>
      <c r="B62" s="79" t="s">
        <v>222</v>
      </c>
      <c r="C62" s="138" t="s">
        <v>223</v>
      </c>
      <c r="D62" s="138"/>
      <c r="E62" s="77">
        <v>43868</v>
      </c>
      <c r="F62" s="138" t="s">
        <v>91</v>
      </c>
      <c r="G62" s="64" t="s">
        <v>77</v>
      </c>
      <c r="H62" s="139">
        <v>9</v>
      </c>
      <c r="I62" s="66" t="s">
        <v>34</v>
      </c>
      <c r="J62" s="140" t="s">
        <v>67</v>
      </c>
      <c r="K62" s="138" t="s">
        <v>224</v>
      </c>
      <c r="L62" s="140" t="s">
        <v>225</v>
      </c>
      <c r="M62" s="69">
        <f t="shared" si="1"/>
        <v>68291060</v>
      </c>
      <c r="N62" s="69">
        <f t="shared" si="2"/>
        <v>68291060</v>
      </c>
      <c r="O62" s="141">
        <v>68291060</v>
      </c>
      <c r="P62" s="141"/>
      <c r="Q62" s="141"/>
      <c r="R62" s="141"/>
      <c r="S62" s="142" t="s">
        <v>38</v>
      </c>
      <c r="T62" s="143" t="s">
        <v>39</v>
      </c>
      <c r="U62" s="144"/>
      <c r="V62" s="143" t="s">
        <v>69</v>
      </c>
      <c r="W62" s="79" t="s">
        <v>220</v>
      </c>
      <c r="X62" s="145" t="s">
        <v>160</v>
      </c>
      <c r="Y62" s="143" t="s">
        <v>221</v>
      </c>
      <c r="Z62" s="143" t="s">
        <v>43</v>
      </c>
      <c r="AA62" s="143" t="s">
        <v>174</v>
      </c>
      <c r="AB62" s="146" t="s">
        <v>45</v>
      </c>
    </row>
    <row r="63" spans="1:28" ht="75" customHeight="1" x14ac:dyDescent="0.3">
      <c r="A63" s="59" t="s">
        <v>216</v>
      </c>
      <c r="B63" s="147" t="s">
        <v>226</v>
      </c>
      <c r="C63" s="138" t="s">
        <v>227</v>
      </c>
      <c r="D63" s="138"/>
      <c r="E63" s="77">
        <v>43868</v>
      </c>
      <c r="F63" s="138" t="s">
        <v>91</v>
      </c>
      <c r="G63" s="64" t="s">
        <v>77</v>
      </c>
      <c r="H63" s="64">
        <v>1</v>
      </c>
      <c r="I63" s="66" t="s">
        <v>34</v>
      </c>
      <c r="J63" s="140" t="s">
        <v>187</v>
      </c>
      <c r="K63" s="138" t="s">
        <v>228</v>
      </c>
      <c r="L63" s="140" t="s">
        <v>229</v>
      </c>
      <c r="M63" s="69">
        <f t="shared" si="1"/>
        <v>36507607</v>
      </c>
      <c r="N63" s="69">
        <f t="shared" si="2"/>
        <v>36507607</v>
      </c>
      <c r="O63" s="141">
        <f>68831207+7473649+1524390+7700000-49021639</f>
        <v>36507607</v>
      </c>
      <c r="P63" s="141"/>
      <c r="Q63" s="141"/>
      <c r="R63" s="141"/>
      <c r="S63" s="148" t="s">
        <v>38</v>
      </c>
      <c r="T63" s="143" t="s">
        <v>39</v>
      </c>
      <c r="U63" s="144"/>
      <c r="V63" s="143" t="s">
        <v>69</v>
      </c>
      <c r="W63" s="79" t="s">
        <v>220</v>
      </c>
      <c r="X63" s="145" t="s">
        <v>160</v>
      </c>
      <c r="Y63" s="143" t="s">
        <v>221</v>
      </c>
      <c r="Z63" s="143" t="s">
        <v>43</v>
      </c>
      <c r="AA63" s="143" t="s">
        <v>230</v>
      </c>
      <c r="AB63" s="146" t="s">
        <v>45</v>
      </c>
    </row>
    <row r="64" spans="1:28" ht="42.75" customHeight="1" x14ac:dyDescent="0.3">
      <c r="A64" s="149" t="s">
        <v>216</v>
      </c>
      <c r="B64" s="79" t="s">
        <v>231</v>
      </c>
      <c r="C64" s="150" t="s">
        <v>232</v>
      </c>
      <c r="D64" s="138"/>
      <c r="E64" s="151">
        <v>43868</v>
      </c>
      <c r="F64" s="63" t="s">
        <v>84</v>
      </c>
      <c r="G64" s="63" t="s">
        <v>84</v>
      </c>
      <c r="H64" s="64">
        <v>9</v>
      </c>
      <c r="I64" s="66" t="s">
        <v>34</v>
      </c>
      <c r="J64" s="140" t="s">
        <v>214</v>
      </c>
      <c r="K64" s="138" t="s">
        <v>233</v>
      </c>
      <c r="L64" s="140" t="s">
        <v>225</v>
      </c>
      <c r="M64" s="80">
        <f t="shared" si="1"/>
        <v>25750000</v>
      </c>
      <c r="N64" s="80">
        <f t="shared" si="2"/>
        <v>25750000</v>
      </c>
      <c r="O64" s="152">
        <v>25750000</v>
      </c>
      <c r="P64" s="153">
        <v>0</v>
      </c>
      <c r="Q64" s="141"/>
      <c r="R64" s="141"/>
      <c r="S64" s="148" t="s">
        <v>38</v>
      </c>
      <c r="T64" s="143" t="s">
        <v>39</v>
      </c>
      <c r="U64" s="144"/>
      <c r="V64" s="154" t="s">
        <v>69</v>
      </c>
      <c r="W64" s="79" t="s">
        <v>220</v>
      </c>
      <c r="X64" s="155" t="s">
        <v>41</v>
      </c>
      <c r="Y64" s="143" t="s">
        <v>42</v>
      </c>
      <c r="Z64" s="143" t="s">
        <v>43</v>
      </c>
      <c r="AA64" s="143" t="s">
        <v>234</v>
      </c>
      <c r="AB64" s="146" t="s">
        <v>45</v>
      </c>
    </row>
    <row r="65" spans="1:28" ht="71.25" customHeight="1" x14ac:dyDescent="0.3">
      <c r="A65" s="17" t="s">
        <v>216</v>
      </c>
      <c r="B65" s="81" t="s">
        <v>235</v>
      </c>
      <c r="C65" s="119" t="s">
        <v>236</v>
      </c>
      <c r="D65" s="119"/>
      <c r="E65" s="20">
        <v>43868</v>
      </c>
      <c r="F65" s="29" t="s">
        <v>84</v>
      </c>
      <c r="G65" s="56" t="s">
        <v>77</v>
      </c>
      <c r="H65" s="56">
        <v>6</v>
      </c>
      <c r="I65" s="23" t="s">
        <v>34</v>
      </c>
      <c r="J65" s="156" t="s">
        <v>67</v>
      </c>
      <c r="K65" s="119" t="s">
        <v>237</v>
      </c>
      <c r="L65" s="156" t="s">
        <v>225</v>
      </c>
      <c r="M65" s="26">
        <f t="shared" si="1"/>
        <v>175535000</v>
      </c>
      <c r="N65" s="26">
        <f t="shared" si="2"/>
        <v>175535000</v>
      </c>
      <c r="O65" s="157">
        <f>141535000+34000000</f>
        <v>175535000</v>
      </c>
      <c r="P65" s="157"/>
      <c r="Q65" s="157"/>
      <c r="R65" s="157"/>
      <c r="S65" s="158" t="s">
        <v>38</v>
      </c>
      <c r="T65" s="159" t="s">
        <v>39</v>
      </c>
      <c r="U65" s="160"/>
      <c r="V65" s="159" t="s">
        <v>69</v>
      </c>
      <c r="W65" s="81" t="s">
        <v>220</v>
      </c>
      <c r="X65" s="161" t="s">
        <v>41</v>
      </c>
      <c r="Y65" s="159" t="s">
        <v>42</v>
      </c>
      <c r="Z65" s="159" t="s">
        <v>43</v>
      </c>
      <c r="AA65" s="159" t="s">
        <v>238</v>
      </c>
      <c r="AB65" s="162" t="s">
        <v>45</v>
      </c>
    </row>
    <row r="66" spans="1:28" ht="57" customHeight="1" x14ac:dyDescent="0.3">
      <c r="A66" s="17" t="s">
        <v>216</v>
      </c>
      <c r="B66" s="81" t="s">
        <v>239</v>
      </c>
      <c r="C66" s="119" t="s">
        <v>240</v>
      </c>
      <c r="D66" s="119"/>
      <c r="E66" s="20">
        <v>44104</v>
      </c>
      <c r="F66" s="81" t="s">
        <v>150</v>
      </c>
      <c r="G66" s="56" t="s">
        <v>194</v>
      </c>
      <c r="H66" s="56">
        <v>1</v>
      </c>
      <c r="I66" s="23" t="s">
        <v>34</v>
      </c>
      <c r="J66" s="156" t="s">
        <v>35</v>
      </c>
      <c r="K66" s="119" t="s">
        <v>237</v>
      </c>
      <c r="L66" s="156" t="s">
        <v>225</v>
      </c>
      <c r="M66" s="26">
        <f t="shared" ref="M66:M133" si="3">+N66+Q66+R66</f>
        <v>5000000</v>
      </c>
      <c r="N66" s="26">
        <f t="shared" si="2"/>
        <v>5000000</v>
      </c>
      <c r="O66" s="157">
        <v>5000000</v>
      </c>
      <c r="P66" s="157"/>
      <c r="Q66" s="157"/>
      <c r="R66" s="157"/>
      <c r="S66" s="158" t="s">
        <v>38</v>
      </c>
      <c r="T66" s="159" t="s">
        <v>39</v>
      </c>
      <c r="U66" s="160"/>
      <c r="V66" s="159"/>
      <c r="W66" s="81" t="s">
        <v>220</v>
      </c>
      <c r="X66" s="163" t="s">
        <v>41</v>
      </c>
      <c r="Y66" s="159" t="s">
        <v>42</v>
      </c>
      <c r="Z66" s="159" t="s">
        <v>43</v>
      </c>
      <c r="AA66" s="159" t="s">
        <v>241</v>
      </c>
      <c r="AB66" s="162" t="s">
        <v>45</v>
      </c>
    </row>
    <row r="67" spans="1:28" ht="57" customHeight="1" x14ac:dyDescent="0.25">
      <c r="A67" s="17" t="s">
        <v>216</v>
      </c>
      <c r="B67" s="81" t="s">
        <v>239</v>
      </c>
      <c r="C67" s="119" t="s">
        <v>242</v>
      </c>
      <c r="D67" s="119"/>
      <c r="E67" s="20">
        <v>44071</v>
      </c>
      <c r="F67" s="21" t="s">
        <v>149</v>
      </c>
      <c r="G67" s="56" t="s">
        <v>150</v>
      </c>
      <c r="H67" s="56">
        <v>1</v>
      </c>
      <c r="I67" s="23" t="s">
        <v>34</v>
      </c>
      <c r="J67" s="156" t="s">
        <v>35</v>
      </c>
      <c r="K67" s="119" t="s">
        <v>237</v>
      </c>
      <c r="L67" s="156" t="s">
        <v>225</v>
      </c>
      <c r="M67" s="26">
        <f t="shared" si="3"/>
        <v>2850000</v>
      </c>
      <c r="N67" s="26">
        <f t="shared" si="2"/>
        <v>2850000</v>
      </c>
      <c r="O67" s="157">
        <v>2850000</v>
      </c>
      <c r="P67" s="157"/>
      <c r="Q67" s="157"/>
      <c r="R67" s="157"/>
      <c r="S67" s="164" t="s">
        <v>38</v>
      </c>
      <c r="T67" s="165" t="s">
        <v>39</v>
      </c>
      <c r="U67" s="160"/>
      <c r="V67" s="159"/>
      <c r="W67" s="81" t="s">
        <v>220</v>
      </c>
      <c r="X67" s="163" t="s">
        <v>41</v>
      </c>
      <c r="Y67" s="159" t="s">
        <v>42</v>
      </c>
      <c r="Z67" s="159" t="s">
        <v>43</v>
      </c>
      <c r="AA67" s="159" t="s">
        <v>243</v>
      </c>
      <c r="AB67" s="162" t="s">
        <v>45</v>
      </c>
    </row>
    <row r="68" spans="1:28" ht="57" customHeight="1" x14ac:dyDescent="0.25">
      <c r="A68" s="17" t="s">
        <v>216</v>
      </c>
      <c r="B68" s="81" t="s">
        <v>239</v>
      </c>
      <c r="C68" s="119" t="s">
        <v>244</v>
      </c>
      <c r="D68" s="119"/>
      <c r="E68" s="20">
        <v>44134</v>
      </c>
      <c r="F68" s="81" t="s">
        <v>194</v>
      </c>
      <c r="G68" s="56" t="s">
        <v>245</v>
      </c>
      <c r="H68" s="56">
        <v>1</v>
      </c>
      <c r="I68" s="23" t="s">
        <v>34</v>
      </c>
      <c r="J68" s="156" t="s">
        <v>35</v>
      </c>
      <c r="K68" s="119" t="s">
        <v>237</v>
      </c>
      <c r="L68" s="156" t="s">
        <v>225</v>
      </c>
      <c r="M68" s="26">
        <f t="shared" si="3"/>
        <v>3500000</v>
      </c>
      <c r="N68" s="26">
        <f t="shared" si="2"/>
        <v>3500000</v>
      </c>
      <c r="O68" s="157">
        <v>3500000</v>
      </c>
      <c r="P68" s="157"/>
      <c r="Q68" s="157"/>
      <c r="R68" s="157"/>
      <c r="S68" s="164" t="s">
        <v>38</v>
      </c>
      <c r="T68" s="165" t="s">
        <v>39</v>
      </c>
      <c r="U68" s="160"/>
      <c r="V68" s="159"/>
      <c r="W68" s="81" t="s">
        <v>220</v>
      </c>
      <c r="X68" s="163" t="s">
        <v>41</v>
      </c>
      <c r="Y68" s="159" t="s">
        <v>42</v>
      </c>
      <c r="Z68" s="159" t="s">
        <v>43</v>
      </c>
      <c r="AA68" s="159" t="s">
        <v>246</v>
      </c>
      <c r="AB68" s="162" t="s">
        <v>45</v>
      </c>
    </row>
    <row r="69" spans="1:28" ht="57" customHeight="1" x14ac:dyDescent="0.25">
      <c r="A69" s="17" t="s">
        <v>216</v>
      </c>
      <c r="B69" s="81" t="s">
        <v>239</v>
      </c>
      <c r="C69" s="119" t="s">
        <v>247</v>
      </c>
      <c r="D69" s="119"/>
      <c r="E69" s="20">
        <v>44043</v>
      </c>
      <c r="F69" s="81" t="s">
        <v>180</v>
      </c>
      <c r="G69" s="110" t="s">
        <v>149</v>
      </c>
      <c r="H69" s="56">
        <v>1</v>
      </c>
      <c r="I69" s="23" t="s">
        <v>34</v>
      </c>
      <c r="J69" s="156" t="s">
        <v>35</v>
      </c>
      <c r="K69" s="119" t="s">
        <v>237</v>
      </c>
      <c r="L69" s="156" t="s">
        <v>225</v>
      </c>
      <c r="M69" s="26">
        <f t="shared" si="3"/>
        <v>4250000</v>
      </c>
      <c r="N69" s="26">
        <f t="shared" si="2"/>
        <v>4250000</v>
      </c>
      <c r="O69" s="157">
        <v>4250000</v>
      </c>
      <c r="P69" s="157"/>
      <c r="Q69" s="157"/>
      <c r="R69" s="157"/>
      <c r="S69" s="164" t="s">
        <v>38</v>
      </c>
      <c r="T69" s="165" t="s">
        <v>39</v>
      </c>
      <c r="U69" s="160"/>
      <c r="V69" s="159"/>
      <c r="W69" s="81" t="s">
        <v>220</v>
      </c>
      <c r="X69" s="163" t="s">
        <v>41</v>
      </c>
      <c r="Y69" s="159" t="s">
        <v>42</v>
      </c>
      <c r="Z69" s="159" t="s">
        <v>43</v>
      </c>
      <c r="AA69" s="159" t="s">
        <v>248</v>
      </c>
      <c r="AB69" s="162" t="s">
        <v>45</v>
      </c>
    </row>
    <row r="70" spans="1:28" ht="57" customHeight="1" x14ac:dyDescent="0.25">
      <c r="A70" s="17" t="s">
        <v>216</v>
      </c>
      <c r="B70" s="81" t="s">
        <v>239</v>
      </c>
      <c r="C70" s="119" t="s">
        <v>249</v>
      </c>
      <c r="D70" s="119"/>
      <c r="E70" s="20">
        <v>43921</v>
      </c>
      <c r="F70" s="29" t="s">
        <v>84</v>
      </c>
      <c r="G70" s="29" t="s">
        <v>84</v>
      </c>
      <c r="H70" s="56" t="s">
        <v>250</v>
      </c>
      <c r="I70" s="23" t="s">
        <v>34</v>
      </c>
      <c r="J70" s="156" t="s">
        <v>35</v>
      </c>
      <c r="K70" s="119" t="s">
        <v>237</v>
      </c>
      <c r="L70" s="156" t="s">
        <v>225</v>
      </c>
      <c r="M70" s="26">
        <f t="shared" si="3"/>
        <v>8000000</v>
      </c>
      <c r="N70" s="26">
        <f t="shared" si="2"/>
        <v>8000000</v>
      </c>
      <c r="O70" s="157">
        <v>8000000</v>
      </c>
      <c r="P70" s="157"/>
      <c r="Q70" s="157"/>
      <c r="R70" s="157"/>
      <c r="S70" s="164" t="s">
        <v>38</v>
      </c>
      <c r="T70" s="165" t="s">
        <v>39</v>
      </c>
      <c r="U70" s="160"/>
      <c r="V70" s="159"/>
      <c r="W70" s="81" t="s">
        <v>220</v>
      </c>
      <c r="X70" s="163" t="s">
        <v>41</v>
      </c>
      <c r="Y70" s="159" t="s">
        <v>42</v>
      </c>
      <c r="Z70" s="159" t="s">
        <v>43</v>
      </c>
      <c r="AA70" s="159" t="s">
        <v>251</v>
      </c>
      <c r="AB70" s="162" t="s">
        <v>45</v>
      </c>
    </row>
    <row r="71" spans="1:28" ht="57" customHeight="1" x14ac:dyDescent="0.25">
      <c r="A71" s="59" t="s">
        <v>216</v>
      </c>
      <c r="B71" s="79" t="s">
        <v>252</v>
      </c>
      <c r="C71" s="138" t="s">
        <v>253</v>
      </c>
      <c r="D71" s="138"/>
      <c r="E71" s="77">
        <v>43868</v>
      </c>
      <c r="F71" s="63" t="s">
        <v>84</v>
      </c>
      <c r="G71" s="64" t="s">
        <v>77</v>
      </c>
      <c r="H71" s="166">
        <v>9</v>
      </c>
      <c r="I71" s="66" t="s">
        <v>34</v>
      </c>
      <c r="J71" s="140" t="s">
        <v>67</v>
      </c>
      <c r="K71" s="138" t="s">
        <v>254</v>
      </c>
      <c r="L71" s="140" t="s">
        <v>225</v>
      </c>
      <c r="M71" s="69">
        <f t="shared" si="3"/>
        <v>149457409</v>
      </c>
      <c r="N71" s="69">
        <f t="shared" si="2"/>
        <v>149457409</v>
      </c>
      <c r="O71" s="141">
        <v>149457409</v>
      </c>
      <c r="P71" s="69">
        <v>0</v>
      </c>
      <c r="Q71" s="141"/>
      <c r="R71" s="141"/>
      <c r="S71" s="167" t="s">
        <v>38</v>
      </c>
      <c r="T71" s="142" t="s">
        <v>39</v>
      </c>
      <c r="U71" s="144"/>
      <c r="V71" s="143" t="s">
        <v>69</v>
      </c>
      <c r="W71" s="79" t="s">
        <v>220</v>
      </c>
      <c r="X71" s="145" t="s">
        <v>41</v>
      </c>
      <c r="Y71" s="143" t="s">
        <v>42</v>
      </c>
      <c r="Z71" s="143" t="s">
        <v>43</v>
      </c>
      <c r="AA71" s="143" t="s">
        <v>255</v>
      </c>
      <c r="AB71" s="146" t="s">
        <v>45</v>
      </c>
    </row>
    <row r="72" spans="1:28" ht="42.75" customHeight="1" x14ac:dyDescent="0.25">
      <c r="A72" s="32" t="s">
        <v>216</v>
      </c>
      <c r="B72" s="33">
        <v>90121502</v>
      </c>
      <c r="C72" s="34" t="s">
        <v>256</v>
      </c>
      <c r="D72" s="35">
        <v>44074</v>
      </c>
      <c r="E72" s="52">
        <v>44043</v>
      </c>
      <c r="F72" s="37" t="s">
        <v>149</v>
      </c>
      <c r="G72" s="37" t="s">
        <v>149</v>
      </c>
      <c r="H72" s="55">
        <v>12</v>
      </c>
      <c r="I72" s="39" t="s">
        <v>34</v>
      </c>
      <c r="J72" s="40" t="s">
        <v>49</v>
      </c>
      <c r="K72" s="40" t="s">
        <v>257</v>
      </c>
      <c r="L72" s="93" t="s">
        <v>258</v>
      </c>
      <c r="M72" s="42">
        <f t="shared" si="3"/>
        <v>1386243400</v>
      </c>
      <c r="N72" s="42">
        <f t="shared" si="2"/>
        <v>1386243400</v>
      </c>
      <c r="O72" s="42">
        <v>842797000</v>
      </c>
      <c r="P72" s="42">
        <v>543446400</v>
      </c>
      <c r="Q72" s="42"/>
      <c r="R72" s="42"/>
      <c r="S72" s="44" t="s">
        <v>259</v>
      </c>
      <c r="T72" s="44" t="s">
        <v>210</v>
      </c>
      <c r="U72" s="42"/>
      <c r="V72" s="44" t="s">
        <v>51</v>
      </c>
      <c r="W72" s="44" t="s">
        <v>220</v>
      </c>
      <c r="X72" s="44" t="s">
        <v>41</v>
      </c>
      <c r="Y72" s="44" t="s">
        <v>42</v>
      </c>
      <c r="Z72" s="44" t="s">
        <v>43</v>
      </c>
      <c r="AA72" s="45" t="s">
        <v>260</v>
      </c>
      <c r="AB72" s="89" t="s">
        <v>45</v>
      </c>
    </row>
    <row r="73" spans="1:28" ht="57" customHeight="1" x14ac:dyDescent="0.25">
      <c r="A73" s="17" t="s">
        <v>216</v>
      </c>
      <c r="B73" s="81">
        <v>90121502</v>
      </c>
      <c r="C73" s="119" t="s">
        <v>261</v>
      </c>
      <c r="D73" s="119" t="s">
        <v>148</v>
      </c>
      <c r="E73" s="20">
        <v>44012</v>
      </c>
      <c r="F73" s="21" t="s">
        <v>149</v>
      </c>
      <c r="G73" s="110" t="s">
        <v>149</v>
      </c>
      <c r="H73" s="168">
        <v>18</v>
      </c>
      <c r="I73" s="23" t="s">
        <v>34</v>
      </c>
      <c r="J73" s="19" t="s">
        <v>163</v>
      </c>
      <c r="K73" s="119" t="s">
        <v>257</v>
      </c>
      <c r="L73" s="156" t="s">
        <v>258</v>
      </c>
      <c r="M73" s="26">
        <f t="shared" si="3"/>
        <v>1784434672</v>
      </c>
      <c r="N73" s="26">
        <f t="shared" si="2"/>
        <v>356603970</v>
      </c>
      <c r="O73" s="157">
        <v>231902000</v>
      </c>
      <c r="P73" s="157">
        <v>124701970</v>
      </c>
      <c r="Q73" s="157">
        <v>1427830702</v>
      </c>
      <c r="R73" s="157"/>
      <c r="S73" s="29" t="s">
        <v>169</v>
      </c>
      <c r="T73" s="159" t="s">
        <v>165</v>
      </c>
      <c r="U73" s="160"/>
      <c r="V73" s="159"/>
      <c r="W73" s="81" t="s">
        <v>220</v>
      </c>
      <c r="X73" s="163" t="s">
        <v>41</v>
      </c>
      <c r="Y73" s="159" t="s">
        <v>42</v>
      </c>
      <c r="Z73" s="159" t="s">
        <v>43</v>
      </c>
      <c r="AA73" s="159" t="s">
        <v>260</v>
      </c>
      <c r="AB73" s="162" t="s">
        <v>45</v>
      </c>
    </row>
    <row r="74" spans="1:28" ht="42.75" customHeight="1" x14ac:dyDescent="0.25">
      <c r="A74" s="32" t="s">
        <v>216</v>
      </c>
      <c r="B74" s="128">
        <v>43231505</v>
      </c>
      <c r="C74" s="129" t="s">
        <v>262</v>
      </c>
      <c r="D74" s="129"/>
      <c r="E74" s="52">
        <v>43868</v>
      </c>
      <c r="F74" s="100" t="s">
        <v>91</v>
      </c>
      <c r="G74" s="100" t="s">
        <v>91</v>
      </c>
      <c r="H74" s="169">
        <v>11</v>
      </c>
      <c r="I74" s="39" t="s">
        <v>34</v>
      </c>
      <c r="J74" s="130" t="s">
        <v>35</v>
      </c>
      <c r="K74" s="129" t="s">
        <v>263</v>
      </c>
      <c r="L74" s="130" t="s">
        <v>264</v>
      </c>
      <c r="M74" s="42">
        <f t="shared" si="3"/>
        <v>96339068</v>
      </c>
      <c r="N74" s="42">
        <f t="shared" si="2"/>
        <v>96339068</v>
      </c>
      <c r="O74" s="170">
        <f>106472000- 10132932</f>
        <v>96339068</v>
      </c>
      <c r="P74" s="131"/>
      <c r="Q74" s="131"/>
      <c r="R74" s="131"/>
      <c r="S74" s="171" t="s">
        <v>38</v>
      </c>
      <c r="T74" s="132" t="s">
        <v>39</v>
      </c>
      <c r="U74" s="134"/>
      <c r="V74" s="133" t="s">
        <v>93</v>
      </c>
      <c r="W74" s="128" t="s">
        <v>220</v>
      </c>
      <c r="X74" s="135" t="s">
        <v>41</v>
      </c>
      <c r="Y74" s="133" t="s">
        <v>42</v>
      </c>
      <c r="Z74" s="133" t="s">
        <v>43</v>
      </c>
      <c r="AA74" s="133" t="s">
        <v>260</v>
      </c>
      <c r="AB74" s="136" t="s">
        <v>45</v>
      </c>
    </row>
    <row r="75" spans="1:28" ht="42.75" customHeight="1" x14ac:dyDescent="0.25">
      <c r="A75" s="17" t="s">
        <v>216</v>
      </c>
      <c r="B75" s="81" t="s">
        <v>265</v>
      </c>
      <c r="C75" s="119" t="s">
        <v>266</v>
      </c>
      <c r="D75" s="119"/>
      <c r="E75" s="20">
        <v>43982</v>
      </c>
      <c r="F75" s="81" t="s">
        <v>53</v>
      </c>
      <c r="G75" s="56" t="s">
        <v>33</v>
      </c>
      <c r="H75" s="172">
        <v>1</v>
      </c>
      <c r="I75" s="23" t="s">
        <v>34</v>
      </c>
      <c r="J75" s="156" t="s">
        <v>67</v>
      </c>
      <c r="K75" s="119" t="s">
        <v>267</v>
      </c>
      <c r="L75" s="156" t="s">
        <v>268</v>
      </c>
      <c r="M75" s="26">
        <f>+N75+Q75+R75</f>
        <v>224424480</v>
      </c>
      <c r="N75" s="26">
        <f>+P75+O75</f>
        <v>224424480</v>
      </c>
      <c r="O75" s="157">
        <v>224424480</v>
      </c>
      <c r="P75" s="157"/>
      <c r="Q75" s="157"/>
      <c r="R75" s="157"/>
      <c r="S75" s="164" t="s">
        <v>38</v>
      </c>
      <c r="T75" s="165" t="s">
        <v>39</v>
      </c>
      <c r="U75" s="160"/>
      <c r="V75" s="159" t="s">
        <v>46</v>
      </c>
      <c r="W75" s="81" t="s">
        <v>220</v>
      </c>
      <c r="X75" s="163" t="s">
        <v>41</v>
      </c>
      <c r="Y75" s="159" t="s">
        <v>42</v>
      </c>
      <c r="Z75" s="159" t="s">
        <v>43</v>
      </c>
      <c r="AA75" s="159" t="s">
        <v>260</v>
      </c>
      <c r="AB75" s="162" t="s">
        <v>45</v>
      </c>
    </row>
    <row r="76" spans="1:28" ht="99.75" customHeight="1" x14ac:dyDescent="0.25">
      <c r="A76" s="32" t="s">
        <v>216</v>
      </c>
      <c r="B76" s="128">
        <v>80111500</v>
      </c>
      <c r="C76" s="129" t="s">
        <v>269</v>
      </c>
      <c r="D76" s="129"/>
      <c r="E76" s="52">
        <v>43861</v>
      </c>
      <c r="F76" s="37" t="s">
        <v>91</v>
      </c>
      <c r="G76" s="37" t="s">
        <v>91</v>
      </c>
      <c r="H76" s="169">
        <v>10</v>
      </c>
      <c r="I76" s="39" t="s">
        <v>34</v>
      </c>
      <c r="J76" s="130" t="s">
        <v>35</v>
      </c>
      <c r="K76" s="129" t="s">
        <v>270</v>
      </c>
      <c r="L76" s="130" t="s">
        <v>37</v>
      </c>
      <c r="M76" s="42">
        <f>+N76+P74+R76</f>
        <v>107917333</v>
      </c>
      <c r="N76" s="42">
        <f t="shared" si="2"/>
        <v>107917333</v>
      </c>
      <c r="O76" s="131">
        <f>114400000-6482667</f>
        <v>107917333</v>
      </c>
      <c r="P76" s="131"/>
      <c r="Q76" s="88"/>
      <c r="R76" s="131"/>
      <c r="S76" s="171" t="s">
        <v>38</v>
      </c>
      <c r="T76" s="132" t="s">
        <v>39</v>
      </c>
      <c r="U76" s="134"/>
      <c r="V76" s="133" t="s">
        <v>93</v>
      </c>
      <c r="W76" s="128" t="s">
        <v>220</v>
      </c>
      <c r="X76" s="135" t="s">
        <v>41</v>
      </c>
      <c r="Y76" s="133" t="s">
        <v>42</v>
      </c>
      <c r="Z76" s="133" t="s">
        <v>43</v>
      </c>
      <c r="AA76" s="133" t="s">
        <v>271</v>
      </c>
      <c r="AB76" s="136" t="s">
        <v>45</v>
      </c>
    </row>
    <row r="77" spans="1:28" ht="42.75" customHeight="1" x14ac:dyDescent="0.25">
      <c r="A77" s="59" t="s">
        <v>272</v>
      </c>
      <c r="B77" s="60">
        <v>43233201</v>
      </c>
      <c r="C77" s="61" t="s">
        <v>273</v>
      </c>
      <c r="D77" s="61"/>
      <c r="E77" s="77">
        <v>43921</v>
      </c>
      <c r="F77" s="63" t="s">
        <v>77</v>
      </c>
      <c r="G77" s="63" t="s">
        <v>53</v>
      </c>
      <c r="H77" s="166">
        <v>7</v>
      </c>
      <c r="I77" s="173" t="s">
        <v>34</v>
      </c>
      <c r="J77" s="82" t="s">
        <v>214</v>
      </c>
      <c r="K77" s="82" t="s">
        <v>274</v>
      </c>
      <c r="L77" s="120" t="s">
        <v>275</v>
      </c>
      <c r="M77" s="69">
        <f t="shared" si="3"/>
        <v>4570860</v>
      </c>
      <c r="N77" s="69">
        <f t="shared" si="2"/>
        <v>4570860</v>
      </c>
      <c r="O77" s="69">
        <f>4217500+353360</f>
        <v>4570860</v>
      </c>
      <c r="P77" s="69">
        <v>0</v>
      </c>
      <c r="Q77" s="69"/>
      <c r="R77" s="69"/>
      <c r="S77" s="63" t="s">
        <v>38</v>
      </c>
      <c r="T77" s="63" t="s">
        <v>39</v>
      </c>
      <c r="U77" s="69"/>
      <c r="V77" s="63" t="s">
        <v>69</v>
      </c>
      <c r="W77" s="63" t="s">
        <v>276</v>
      </c>
      <c r="X77" s="63" t="s">
        <v>160</v>
      </c>
      <c r="Y77" s="63" t="s">
        <v>42</v>
      </c>
      <c r="Z77" s="63" t="s">
        <v>43</v>
      </c>
      <c r="AA77" s="72" t="s">
        <v>161</v>
      </c>
      <c r="AB77" s="174" t="s">
        <v>45</v>
      </c>
    </row>
    <row r="78" spans="1:28" ht="71.25" customHeight="1" x14ac:dyDescent="0.25">
      <c r="A78" s="32" t="s">
        <v>272</v>
      </c>
      <c r="B78" s="44">
        <v>80141628</v>
      </c>
      <c r="C78" s="175" t="s">
        <v>277</v>
      </c>
      <c r="D78" s="175"/>
      <c r="E78" s="52">
        <v>43830</v>
      </c>
      <c r="F78" s="44" t="s">
        <v>139</v>
      </c>
      <c r="G78" s="44" t="s">
        <v>139</v>
      </c>
      <c r="H78" s="176">
        <v>144</v>
      </c>
      <c r="I78" s="39" t="s">
        <v>34</v>
      </c>
      <c r="J78" s="40" t="s">
        <v>72</v>
      </c>
      <c r="K78" s="40" t="s">
        <v>278</v>
      </c>
      <c r="L78" s="177" t="s">
        <v>279</v>
      </c>
      <c r="M78" s="42">
        <f t="shared" si="3"/>
        <v>0</v>
      </c>
      <c r="N78" s="42">
        <f t="shared" si="2"/>
        <v>0</v>
      </c>
      <c r="O78" s="43">
        <v>0</v>
      </c>
      <c r="P78" s="42">
        <v>0</v>
      </c>
      <c r="Q78" s="42"/>
      <c r="R78" s="42"/>
      <c r="S78" s="44" t="s">
        <v>38</v>
      </c>
      <c r="T78" s="44" t="s">
        <v>39</v>
      </c>
      <c r="U78" s="42"/>
      <c r="V78" s="44" t="s">
        <v>51</v>
      </c>
      <c r="W78" s="44" t="s">
        <v>276</v>
      </c>
      <c r="X78" s="44" t="s">
        <v>160</v>
      </c>
      <c r="Y78" s="44" t="s">
        <v>42</v>
      </c>
      <c r="Z78" s="44" t="s">
        <v>43</v>
      </c>
      <c r="AA78" s="45" t="s">
        <v>161</v>
      </c>
      <c r="AB78" s="178" t="s">
        <v>45</v>
      </c>
    </row>
    <row r="79" spans="1:28" ht="99.75" customHeight="1" x14ac:dyDescent="0.25">
      <c r="A79" s="32" t="s">
        <v>272</v>
      </c>
      <c r="B79" s="33">
        <v>80141628</v>
      </c>
      <c r="C79" s="34" t="s">
        <v>280</v>
      </c>
      <c r="D79" s="35">
        <v>44196</v>
      </c>
      <c r="E79" s="52">
        <v>44106</v>
      </c>
      <c r="F79" s="37" t="s">
        <v>245</v>
      </c>
      <c r="G79" s="37" t="s">
        <v>245</v>
      </c>
      <c r="H79" s="179">
        <v>36</v>
      </c>
      <c r="I79" s="39" t="s">
        <v>34</v>
      </c>
      <c r="J79" s="40" t="s">
        <v>49</v>
      </c>
      <c r="K79" s="40" t="s">
        <v>281</v>
      </c>
      <c r="L79" s="93" t="s">
        <v>37</v>
      </c>
      <c r="M79" s="42">
        <f t="shared" si="3"/>
        <v>489053305</v>
      </c>
      <c r="N79" s="42">
        <f t="shared" si="2"/>
        <v>245282767</v>
      </c>
      <c r="O79" s="42">
        <f>255749105-10466338</f>
        <v>245282767</v>
      </c>
      <c r="P79" s="42">
        <v>0</v>
      </c>
      <c r="Q79" s="94">
        <v>243770538</v>
      </c>
      <c r="R79" s="42"/>
      <c r="S79" s="44" t="s">
        <v>169</v>
      </c>
      <c r="T79" s="44" t="s">
        <v>165</v>
      </c>
      <c r="U79" s="42">
        <v>10466338</v>
      </c>
      <c r="V79" s="44" t="s">
        <v>51</v>
      </c>
      <c r="W79" s="44" t="s">
        <v>276</v>
      </c>
      <c r="X79" s="44" t="s">
        <v>160</v>
      </c>
      <c r="Y79" s="44" t="s">
        <v>42</v>
      </c>
      <c r="Z79" s="44" t="s">
        <v>43</v>
      </c>
      <c r="AA79" s="45" t="s">
        <v>161</v>
      </c>
      <c r="AB79" s="89" t="s">
        <v>45</v>
      </c>
    </row>
    <row r="80" spans="1:28" ht="128.25" customHeight="1" x14ac:dyDescent="0.25">
      <c r="A80" s="17" t="s">
        <v>272</v>
      </c>
      <c r="B80" s="18" t="s">
        <v>282</v>
      </c>
      <c r="C80" s="19" t="s">
        <v>283</v>
      </c>
      <c r="D80" s="19"/>
      <c r="E80" s="20"/>
      <c r="F80" s="21"/>
      <c r="G80" s="21"/>
      <c r="H80" s="22">
        <v>33</v>
      </c>
      <c r="I80" s="23" t="s">
        <v>34</v>
      </c>
      <c r="J80" s="19" t="s">
        <v>284</v>
      </c>
      <c r="K80" s="29" t="s">
        <v>285</v>
      </c>
      <c r="L80" s="24" t="s">
        <v>37</v>
      </c>
      <c r="M80" s="26">
        <f t="shared" si="3"/>
        <v>14536796</v>
      </c>
      <c r="N80" s="26">
        <f t="shared" si="2"/>
        <v>5398272</v>
      </c>
      <c r="O80" s="26">
        <v>749760</v>
      </c>
      <c r="P80" s="26">
        <v>4648512</v>
      </c>
      <c r="Q80" s="26">
        <v>5667840</v>
      </c>
      <c r="R80" s="26">
        <v>3470684</v>
      </c>
      <c r="S80" s="29" t="s">
        <v>169</v>
      </c>
      <c r="T80" s="29" t="s">
        <v>165</v>
      </c>
      <c r="U80" s="26"/>
      <c r="V80" s="29"/>
      <c r="W80" s="29" t="s">
        <v>286</v>
      </c>
      <c r="X80" s="29" t="s">
        <v>160</v>
      </c>
      <c r="Y80" s="29" t="s">
        <v>42</v>
      </c>
      <c r="Z80" s="29" t="s">
        <v>43</v>
      </c>
      <c r="AA80" s="30" t="s">
        <v>161</v>
      </c>
      <c r="AB80" s="87" t="s">
        <v>45</v>
      </c>
    </row>
    <row r="81" spans="1:28" ht="99.75" customHeight="1" x14ac:dyDescent="0.25">
      <c r="A81" s="17" t="s">
        <v>287</v>
      </c>
      <c r="B81" s="18">
        <v>81131504</v>
      </c>
      <c r="C81" s="19" t="s">
        <v>288</v>
      </c>
      <c r="D81" s="19"/>
      <c r="E81" s="20">
        <v>43921</v>
      </c>
      <c r="F81" s="21" t="s">
        <v>53</v>
      </c>
      <c r="G81" s="180" t="s">
        <v>53</v>
      </c>
      <c r="H81" s="22">
        <v>5</v>
      </c>
      <c r="I81" s="23" t="s">
        <v>34</v>
      </c>
      <c r="J81" s="19" t="s">
        <v>289</v>
      </c>
      <c r="K81" s="29" t="s">
        <v>290</v>
      </c>
      <c r="L81" s="24" t="s">
        <v>37</v>
      </c>
      <c r="M81" s="26">
        <f t="shared" si="3"/>
        <v>115806040</v>
      </c>
      <c r="N81" s="26">
        <f t="shared" si="2"/>
        <v>115806040</v>
      </c>
      <c r="O81" s="26">
        <v>115806040</v>
      </c>
      <c r="P81" s="26">
        <v>0</v>
      </c>
      <c r="Q81" s="26"/>
      <c r="R81" s="26"/>
      <c r="S81" s="29" t="s">
        <v>38</v>
      </c>
      <c r="T81" s="29" t="s">
        <v>39</v>
      </c>
      <c r="U81" s="26"/>
      <c r="V81" s="29"/>
      <c r="W81" s="29" t="s">
        <v>291</v>
      </c>
      <c r="X81" s="29" t="s">
        <v>160</v>
      </c>
      <c r="Y81" s="29" t="s">
        <v>42</v>
      </c>
      <c r="Z81" s="29" t="s">
        <v>43</v>
      </c>
      <c r="AA81" s="30" t="s">
        <v>44</v>
      </c>
      <c r="AB81" s="87" t="s">
        <v>45</v>
      </c>
    </row>
    <row r="82" spans="1:28" ht="71.25" customHeight="1" x14ac:dyDescent="0.25">
      <c r="A82" s="59" t="s">
        <v>287</v>
      </c>
      <c r="B82" s="60" t="s">
        <v>292</v>
      </c>
      <c r="C82" s="61" t="s">
        <v>293</v>
      </c>
      <c r="D82" s="61"/>
      <c r="E82" s="77">
        <v>43889</v>
      </c>
      <c r="F82" s="63" t="s">
        <v>84</v>
      </c>
      <c r="G82" s="64" t="s">
        <v>53</v>
      </c>
      <c r="H82" s="65">
        <v>8</v>
      </c>
      <c r="I82" s="63" t="s">
        <v>34</v>
      </c>
      <c r="J82" s="61" t="s">
        <v>133</v>
      </c>
      <c r="K82" s="63" t="s">
        <v>294</v>
      </c>
      <c r="L82" s="82" t="s">
        <v>37</v>
      </c>
      <c r="M82" s="69">
        <f t="shared" si="3"/>
        <v>14000000</v>
      </c>
      <c r="N82" s="69">
        <f t="shared" si="2"/>
        <v>14000000</v>
      </c>
      <c r="O82" s="69">
        <v>14000000</v>
      </c>
      <c r="P82" s="69">
        <v>0</v>
      </c>
      <c r="Q82" s="69"/>
      <c r="R82" s="69"/>
      <c r="S82" s="63" t="s">
        <v>38</v>
      </c>
      <c r="T82" s="63" t="s">
        <v>39</v>
      </c>
      <c r="U82" s="69"/>
      <c r="V82" s="63" t="s">
        <v>69</v>
      </c>
      <c r="W82" s="63" t="s">
        <v>291</v>
      </c>
      <c r="X82" s="63" t="s">
        <v>160</v>
      </c>
      <c r="Y82" s="63" t="s">
        <v>42</v>
      </c>
      <c r="Z82" s="63" t="s">
        <v>43</v>
      </c>
      <c r="AA82" s="72" t="s">
        <v>44</v>
      </c>
      <c r="AB82" s="117" t="s">
        <v>45</v>
      </c>
    </row>
    <row r="83" spans="1:28" ht="42.75" customHeight="1" x14ac:dyDescent="0.25">
      <c r="A83" s="32" t="s">
        <v>287</v>
      </c>
      <c r="B83" s="33">
        <v>83111507</v>
      </c>
      <c r="C83" s="34" t="s">
        <v>295</v>
      </c>
      <c r="D83" s="35">
        <v>43982</v>
      </c>
      <c r="E83" s="52">
        <v>43889</v>
      </c>
      <c r="F83" s="37" t="s">
        <v>84</v>
      </c>
      <c r="G83" s="37" t="s">
        <v>77</v>
      </c>
      <c r="H83" s="55">
        <v>12</v>
      </c>
      <c r="I83" s="39" t="s">
        <v>34</v>
      </c>
      <c r="J83" s="40" t="s">
        <v>49</v>
      </c>
      <c r="K83" s="40" t="s">
        <v>296</v>
      </c>
      <c r="L83" s="93" t="s">
        <v>37</v>
      </c>
      <c r="M83" s="42">
        <f t="shared" si="3"/>
        <v>176278662</v>
      </c>
      <c r="N83" s="42">
        <f t="shared" si="2"/>
        <v>176278662</v>
      </c>
      <c r="O83" s="181">
        <f>163869848+2740320+9668494</f>
        <v>176278662</v>
      </c>
      <c r="P83" s="42">
        <v>0</v>
      </c>
      <c r="Q83" s="42"/>
      <c r="R83" s="42"/>
      <c r="S83" s="44" t="s">
        <v>38</v>
      </c>
      <c r="T83" s="44" t="s">
        <v>39</v>
      </c>
      <c r="U83" s="42"/>
      <c r="V83" s="44" t="s">
        <v>51</v>
      </c>
      <c r="W83" s="44" t="s">
        <v>291</v>
      </c>
      <c r="X83" s="44" t="s">
        <v>160</v>
      </c>
      <c r="Y83" s="44" t="s">
        <v>42</v>
      </c>
      <c r="Z83" s="44" t="s">
        <v>43</v>
      </c>
      <c r="AA83" s="45" t="s">
        <v>44</v>
      </c>
      <c r="AB83" s="89" t="s">
        <v>45</v>
      </c>
    </row>
    <row r="84" spans="1:28" ht="42.75" customHeight="1" x14ac:dyDescent="0.25">
      <c r="A84" s="32" t="s">
        <v>287</v>
      </c>
      <c r="B84" s="33">
        <v>83111508</v>
      </c>
      <c r="C84" s="34" t="s">
        <v>297</v>
      </c>
      <c r="D84" s="35"/>
      <c r="E84" s="52">
        <v>43951</v>
      </c>
      <c r="F84" s="37" t="s">
        <v>53</v>
      </c>
      <c r="G84" s="37" t="s">
        <v>53</v>
      </c>
      <c r="H84" s="55">
        <v>11</v>
      </c>
      <c r="I84" s="39" t="s">
        <v>34</v>
      </c>
      <c r="J84" s="40" t="s">
        <v>163</v>
      </c>
      <c r="K84" s="40" t="s">
        <v>296</v>
      </c>
      <c r="L84" s="93" t="s">
        <v>100</v>
      </c>
      <c r="M84" s="42">
        <f>+N84+Q84+R84</f>
        <v>361954155</v>
      </c>
      <c r="N84" s="42">
        <f t="shared" si="2"/>
        <v>231154978</v>
      </c>
      <c r="O84" s="94">
        <f>308096511-76941533</f>
        <v>231154978</v>
      </c>
      <c r="P84" s="42"/>
      <c r="Q84" s="42">
        <f>186415885-55616708</f>
        <v>130799177</v>
      </c>
      <c r="R84" s="42"/>
      <c r="S84" s="44" t="s">
        <v>259</v>
      </c>
      <c r="T84" s="44" t="s">
        <v>165</v>
      </c>
      <c r="U84" s="42"/>
      <c r="V84" s="44" t="s">
        <v>69</v>
      </c>
      <c r="W84" s="44" t="s">
        <v>291</v>
      </c>
      <c r="X84" s="44" t="s">
        <v>160</v>
      </c>
      <c r="Y84" s="44" t="s">
        <v>42</v>
      </c>
      <c r="Z84" s="44" t="s">
        <v>43</v>
      </c>
      <c r="AA84" s="45" t="s">
        <v>102</v>
      </c>
      <c r="AB84" s="89" t="s">
        <v>45</v>
      </c>
    </row>
    <row r="85" spans="1:28" ht="43.5" customHeight="1" x14ac:dyDescent="0.25">
      <c r="A85" s="59" t="s">
        <v>287</v>
      </c>
      <c r="B85" s="60" t="s">
        <v>298</v>
      </c>
      <c r="C85" s="61" t="s">
        <v>293</v>
      </c>
      <c r="D85" s="61"/>
      <c r="E85" s="77">
        <v>43889</v>
      </c>
      <c r="F85" s="63" t="s">
        <v>84</v>
      </c>
      <c r="G85" s="64" t="s">
        <v>53</v>
      </c>
      <c r="H85" s="65">
        <v>8</v>
      </c>
      <c r="I85" s="63" t="s">
        <v>34</v>
      </c>
      <c r="J85" s="61" t="s">
        <v>133</v>
      </c>
      <c r="K85" s="63" t="s">
        <v>299</v>
      </c>
      <c r="L85" s="82" t="s">
        <v>37</v>
      </c>
      <c r="M85" s="69">
        <f t="shared" si="3"/>
        <v>21218000</v>
      </c>
      <c r="N85" s="69">
        <f t="shared" si="2"/>
        <v>21218000</v>
      </c>
      <c r="O85" s="69">
        <v>21218000</v>
      </c>
      <c r="P85" s="69" t="s">
        <v>101</v>
      </c>
      <c r="Q85" s="69"/>
      <c r="R85" s="69"/>
      <c r="S85" s="63" t="s">
        <v>38</v>
      </c>
      <c r="T85" s="63" t="s">
        <v>39</v>
      </c>
      <c r="U85" s="69"/>
      <c r="V85" s="63" t="s">
        <v>69</v>
      </c>
      <c r="W85" s="63" t="s">
        <v>291</v>
      </c>
      <c r="X85" s="63" t="s">
        <v>160</v>
      </c>
      <c r="Y85" s="63" t="s">
        <v>42</v>
      </c>
      <c r="Z85" s="63" t="s">
        <v>43</v>
      </c>
      <c r="AA85" s="72" t="s">
        <v>44</v>
      </c>
      <c r="AB85" s="117" t="s">
        <v>45</v>
      </c>
    </row>
    <row r="86" spans="1:28" ht="99.75" customHeight="1" x14ac:dyDescent="0.25">
      <c r="A86" s="32" t="s">
        <v>300</v>
      </c>
      <c r="B86" s="33">
        <v>81112501</v>
      </c>
      <c r="C86" s="34" t="s">
        <v>301</v>
      </c>
      <c r="D86" s="34"/>
      <c r="E86" s="52">
        <v>43861</v>
      </c>
      <c r="F86" s="37" t="s">
        <v>91</v>
      </c>
      <c r="G86" s="47" t="s">
        <v>91</v>
      </c>
      <c r="H86" s="53">
        <v>1</v>
      </c>
      <c r="I86" s="39" t="s">
        <v>34</v>
      </c>
      <c r="J86" s="34" t="s">
        <v>35</v>
      </c>
      <c r="K86" s="44" t="s">
        <v>302</v>
      </c>
      <c r="L86" s="40" t="s">
        <v>264</v>
      </c>
      <c r="M86" s="42">
        <f t="shared" si="3"/>
        <v>124398741.31</v>
      </c>
      <c r="N86" s="42">
        <f t="shared" si="2"/>
        <v>124398741.31</v>
      </c>
      <c r="O86" s="42">
        <v>124398741.31</v>
      </c>
      <c r="P86" s="42"/>
      <c r="Q86" s="42"/>
      <c r="R86" s="42"/>
      <c r="S86" s="44" t="s">
        <v>38</v>
      </c>
      <c r="T86" s="44" t="s">
        <v>39</v>
      </c>
      <c r="U86" s="42"/>
      <c r="V86" s="44" t="s">
        <v>93</v>
      </c>
      <c r="W86" s="44" t="s">
        <v>303</v>
      </c>
      <c r="X86" s="44" t="s">
        <v>300</v>
      </c>
      <c r="Y86" s="44" t="s">
        <v>42</v>
      </c>
      <c r="Z86" s="44" t="s">
        <v>43</v>
      </c>
      <c r="AA86" s="45" t="s">
        <v>161</v>
      </c>
      <c r="AB86" s="89" t="s">
        <v>45</v>
      </c>
    </row>
    <row r="87" spans="1:28" ht="59.25" customHeight="1" x14ac:dyDescent="0.25">
      <c r="A87" s="59" t="s">
        <v>300</v>
      </c>
      <c r="B87" s="60" t="s">
        <v>304</v>
      </c>
      <c r="C87" s="61" t="s">
        <v>132</v>
      </c>
      <c r="D87" s="61"/>
      <c r="E87" s="77">
        <v>43889</v>
      </c>
      <c r="F87" s="63" t="s">
        <v>84</v>
      </c>
      <c r="G87" s="64" t="s">
        <v>53</v>
      </c>
      <c r="H87" s="65">
        <v>8</v>
      </c>
      <c r="I87" s="63" t="s">
        <v>34</v>
      </c>
      <c r="J87" s="61" t="s">
        <v>133</v>
      </c>
      <c r="K87" s="63" t="s">
        <v>305</v>
      </c>
      <c r="L87" s="82" t="s">
        <v>37</v>
      </c>
      <c r="M87" s="69">
        <f t="shared" si="3"/>
        <v>31827000</v>
      </c>
      <c r="N87" s="69">
        <f t="shared" si="2"/>
        <v>31827000</v>
      </c>
      <c r="O87" s="69">
        <v>31827000</v>
      </c>
      <c r="P87" s="69"/>
      <c r="Q87" s="69"/>
      <c r="R87" s="69"/>
      <c r="S87" s="63" t="s">
        <v>38</v>
      </c>
      <c r="T87" s="63" t="s">
        <v>39</v>
      </c>
      <c r="U87" s="69"/>
      <c r="V87" s="63" t="s">
        <v>69</v>
      </c>
      <c r="W87" s="63" t="s">
        <v>303</v>
      </c>
      <c r="X87" s="63" t="s">
        <v>300</v>
      </c>
      <c r="Y87" s="63" t="s">
        <v>42</v>
      </c>
      <c r="Z87" s="63" t="s">
        <v>43</v>
      </c>
      <c r="AA87" s="72" t="s">
        <v>161</v>
      </c>
      <c r="AB87" s="117" t="s">
        <v>45</v>
      </c>
    </row>
    <row r="88" spans="1:28" ht="42.75" customHeight="1" x14ac:dyDescent="0.25">
      <c r="A88" s="32" t="s">
        <v>306</v>
      </c>
      <c r="B88" s="33">
        <v>60105412</v>
      </c>
      <c r="C88" s="34" t="s">
        <v>307</v>
      </c>
      <c r="D88" s="35">
        <v>44196</v>
      </c>
      <c r="E88" s="52">
        <v>43921</v>
      </c>
      <c r="F88" s="44" t="s">
        <v>84</v>
      </c>
      <c r="G88" s="47" t="s">
        <v>84</v>
      </c>
      <c r="H88" s="183">
        <v>12</v>
      </c>
      <c r="I88" s="91" t="s">
        <v>34</v>
      </c>
      <c r="J88" s="34" t="s">
        <v>116</v>
      </c>
      <c r="K88" s="44" t="s">
        <v>308</v>
      </c>
      <c r="L88" s="40" t="s">
        <v>37</v>
      </c>
      <c r="M88" s="42">
        <f t="shared" si="3"/>
        <v>15810845400</v>
      </c>
      <c r="N88" s="42">
        <f t="shared" si="2"/>
        <v>15810845400</v>
      </c>
      <c r="O88" s="42" t="s">
        <v>101</v>
      </c>
      <c r="P88" s="42">
        <v>15810845400</v>
      </c>
      <c r="Q88" s="42"/>
      <c r="R88" s="42"/>
      <c r="S88" s="44" t="s">
        <v>38</v>
      </c>
      <c r="T88" s="44" t="s">
        <v>39</v>
      </c>
      <c r="U88" s="42"/>
      <c r="V88" s="44" t="s">
        <v>93</v>
      </c>
      <c r="W88" s="44" t="s">
        <v>309</v>
      </c>
      <c r="X88" s="44" t="s">
        <v>160</v>
      </c>
      <c r="Y88" s="44" t="s">
        <v>42</v>
      </c>
      <c r="Z88" s="44" t="s">
        <v>43</v>
      </c>
      <c r="AA88" s="45" t="s">
        <v>310</v>
      </c>
      <c r="AB88" s="89" t="s">
        <v>45</v>
      </c>
    </row>
    <row r="89" spans="1:28" ht="114" customHeight="1" x14ac:dyDescent="0.25">
      <c r="A89" s="32" t="s">
        <v>306</v>
      </c>
      <c r="B89" s="33">
        <v>84131501</v>
      </c>
      <c r="C89" s="34" t="s">
        <v>312</v>
      </c>
      <c r="D89" s="34"/>
      <c r="E89" s="35">
        <v>43833</v>
      </c>
      <c r="F89" s="44" t="s">
        <v>139</v>
      </c>
      <c r="G89" s="47" t="s">
        <v>91</v>
      </c>
      <c r="H89" s="183">
        <v>10.5</v>
      </c>
      <c r="I89" s="91" t="s">
        <v>34</v>
      </c>
      <c r="J89" s="34" t="s">
        <v>289</v>
      </c>
      <c r="K89" s="185" t="s">
        <v>313</v>
      </c>
      <c r="L89" s="40" t="s">
        <v>37</v>
      </c>
      <c r="M89" s="42">
        <f t="shared" si="3"/>
        <v>752719920</v>
      </c>
      <c r="N89" s="42">
        <f t="shared" si="2"/>
        <v>752719920</v>
      </c>
      <c r="O89" s="42" t="s">
        <v>101</v>
      </c>
      <c r="P89" s="42">
        <v>752719920</v>
      </c>
      <c r="Q89" s="42"/>
      <c r="R89" s="42"/>
      <c r="S89" s="44" t="s">
        <v>38</v>
      </c>
      <c r="T89" s="44" t="s">
        <v>39</v>
      </c>
      <c r="U89" s="42"/>
      <c r="V89" s="44" t="s">
        <v>93</v>
      </c>
      <c r="W89" s="44" t="s">
        <v>309</v>
      </c>
      <c r="X89" s="44" t="s">
        <v>160</v>
      </c>
      <c r="Y89" s="44" t="s">
        <v>42</v>
      </c>
      <c r="Z89" s="44" t="s">
        <v>43</v>
      </c>
      <c r="AA89" s="45" t="s">
        <v>310</v>
      </c>
      <c r="AB89" s="89" t="s">
        <v>45</v>
      </c>
    </row>
    <row r="90" spans="1:28" ht="75.5" customHeight="1" x14ac:dyDescent="0.25">
      <c r="A90" s="32" t="s">
        <v>314</v>
      </c>
      <c r="B90" s="33">
        <v>81112211</v>
      </c>
      <c r="C90" s="34" t="s">
        <v>315</v>
      </c>
      <c r="D90" s="34"/>
      <c r="E90" s="52">
        <v>43903</v>
      </c>
      <c r="F90" s="44" t="s">
        <v>77</v>
      </c>
      <c r="G90" s="47" t="s">
        <v>77</v>
      </c>
      <c r="H90" s="183">
        <v>9</v>
      </c>
      <c r="I90" s="39" t="s">
        <v>34</v>
      </c>
      <c r="J90" s="34" t="s">
        <v>35</v>
      </c>
      <c r="K90" s="44" t="s">
        <v>316</v>
      </c>
      <c r="L90" s="186" t="s">
        <v>317</v>
      </c>
      <c r="M90" s="42">
        <f t="shared" si="3"/>
        <v>64252920</v>
      </c>
      <c r="N90" s="42">
        <f t="shared" si="2"/>
        <v>64252920</v>
      </c>
      <c r="O90" s="42">
        <v>64252920</v>
      </c>
      <c r="P90" s="42">
        <v>0</v>
      </c>
      <c r="Q90" s="42"/>
      <c r="R90" s="42"/>
      <c r="S90" s="44" t="s">
        <v>38</v>
      </c>
      <c r="T90" s="44" t="s">
        <v>39</v>
      </c>
      <c r="U90" s="42"/>
      <c r="V90" s="44" t="s">
        <v>93</v>
      </c>
      <c r="W90" s="44" t="s">
        <v>318</v>
      </c>
      <c r="X90" s="44" t="s">
        <v>160</v>
      </c>
      <c r="Y90" s="44" t="s">
        <v>42</v>
      </c>
      <c r="Z90" s="44" t="s">
        <v>43</v>
      </c>
      <c r="AA90" s="45" t="s">
        <v>310</v>
      </c>
      <c r="AB90" s="89" t="s">
        <v>45</v>
      </c>
    </row>
    <row r="91" spans="1:28" ht="38.25" customHeight="1" x14ac:dyDescent="0.25">
      <c r="A91" s="59" t="s">
        <v>314</v>
      </c>
      <c r="B91" s="60" t="s">
        <v>319</v>
      </c>
      <c r="C91" s="61" t="s">
        <v>320</v>
      </c>
      <c r="D91" s="61"/>
      <c r="E91" s="77">
        <v>43903</v>
      </c>
      <c r="F91" s="63" t="s">
        <v>77</v>
      </c>
      <c r="G91" s="78" t="s">
        <v>53</v>
      </c>
      <c r="H91" s="187">
        <v>9</v>
      </c>
      <c r="I91" s="188" t="s">
        <v>34</v>
      </c>
      <c r="J91" s="61" t="s">
        <v>187</v>
      </c>
      <c r="K91" s="63" t="s">
        <v>321</v>
      </c>
      <c r="L91" s="189" t="s">
        <v>322</v>
      </c>
      <c r="M91" s="69">
        <f t="shared" si="3"/>
        <v>54583120</v>
      </c>
      <c r="N91" s="69">
        <f t="shared" si="2"/>
        <v>54583120</v>
      </c>
      <c r="O91" s="69">
        <f>60000000-43625064</f>
        <v>16374936</v>
      </c>
      <c r="P91" s="69">
        <f>60000000-21791816</f>
        <v>38208184</v>
      </c>
      <c r="Q91" s="69"/>
      <c r="R91" s="69"/>
      <c r="S91" s="63" t="s">
        <v>38</v>
      </c>
      <c r="T91" s="63" t="s">
        <v>39</v>
      </c>
      <c r="U91" s="69"/>
      <c r="V91" s="63" t="s">
        <v>69</v>
      </c>
      <c r="W91" s="63" t="s">
        <v>318</v>
      </c>
      <c r="X91" s="63" t="s">
        <v>160</v>
      </c>
      <c r="Y91" s="63" t="s">
        <v>42</v>
      </c>
      <c r="Z91" s="63" t="s">
        <v>43</v>
      </c>
      <c r="AA91" s="72" t="s">
        <v>310</v>
      </c>
      <c r="AB91" s="117" t="s">
        <v>45</v>
      </c>
    </row>
    <row r="92" spans="1:28" ht="38.25" customHeight="1" x14ac:dyDescent="0.25">
      <c r="A92" s="59" t="s">
        <v>314</v>
      </c>
      <c r="B92" s="60" t="s">
        <v>319</v>
      </c>
      <c r="C92" s="61" t="s">
        <v>323</v>
      </c>
      <c r="D92" s="61"/>
      <c r="E92" s="77">
        <v>43981</v>
      </c>
      <c r="F92" s="63" t="s">
        <v>53</v>
      </c>
      <c r="G92" s="78" t="s">
        <v>33</v>
      </c>
      <c r="H92" s="187">
        <v>10</v>
      </c>
      <c r="I92" s="188" t="s">
        <v>34</v>
      </c>
      <c r="J92" s="61" t="s">
        <v>163</v>
      </c>
      <c r="K92" s="63" t="s">
        <v>321</v>
      </c>
      <c r="L92" s="189" t="s">
        <v>324</v>
      </c>
      <c r="M92" s="69">
        <f t="shared" si="3"/>
        <v>65416880</v>
      </c>
      <c r="N92" s="69">
        <f t="shared" si="2"/>
        <v>65416880</v>
      </c>
      <c r="O92" s="69">
        <v>19625064</v>
      </c>
      <c r="P92" s="69">
        <v>45791816</v>
      </c>
      <c r="Q92" s="69"/>
      <c r="R92" s="69"/>
      <c r="S92" s="63" t="s">
        <v>38</v>
      </c>
      <c r="T92" s="63" t="s">
        <v>39</v>
      </c>
      <c r="U92" s="69"/>
      <c r="V92" s="63" t="s">
        <v>69</v>
      </c>
      <c r="W92" s="63" t="s">
        <v>318</v>
      </c>
      <c r="X92" s="63" t="s">
        <v>160</v>
      </c>
      <c r="Y92" s="63" t="s">
        <v>42</v>
      </c>
      <c r="Z92" s="63" t="s">
        <v>43</v>
      </c>
      <c r="AA92" s="72" t="s">
        <v>311</v>
      </c>
      <c r="AB92" s="117" t="s">
        <v>45</v>
      </c>
    </row>
    <row r="93" spans="1:28" ht="57" customHeight="1" x14ac:dyDescent="0.25">
      <c r="A93" s="17" t="s">
        <v>314</v>
      </c>
      <c r="B93" s="18">
        <v>44103103</v>
      </c>
      <c r="C93" s="19" t="s">
        <v>325</v>
      </c>
      <c r="D93" s="19"/>
      <c r="E93" s="20">
        <v>43951</v>
      </c>
      <c r="F93" s="21" t="s">
        <v>53</v>
      </c>
      <c r="G93" s="180" t="s">
        <v>33</v>
      </c>
      <c r="H93" s="184" t="s">
        <v>78</v>
      </c>
      <c r="I93" s="92" t="s">
        <v>34</v>
      </c>
      <c r="J93" s="19" t="s">
        <v>163</v>
      </c>
      <c r="K93" s="29" t="s">
        <v>326</v>
      </c>
      <c r="L93" s="190" t="s">
        <v>327</v>
      </c>
      <c r="M93" s="26">
        <f t="shared" si="3"/>
        <v>200000000</v>
      </c>
      <c r="N93" s="26">
        <f t="shared" si="2"/>
        <v>200000000</v>
      </c>
      <c r="O93" s="26">
        <v>140000000</v>
      </c>
      <c r="P93" s="26">
        <v>60000000</v>
      </c>
      <c r="Q93" s="26"/>
      <c r="R93" s="26"/>
      <c r="S93" s="29" t="s">
        <v>38</v>
      </c>
      <c r="T93" s="29" t="s">
        <v>39</v>
      </c>
      <c r="U93" s="26"/>
      <c r="V93" s="29"/>
      <c r="W93" s="29" t="s">
        <v>318</v>
      </c>
      <c r="X93" s="29" t="s">
        <v>160</v>
      </c>
      <c r="Y93" s="29" t="s">
        <v>42</v>
      </c>
      <c r="Z93" s="29" t="s">
        <v>43</v>
      </c>
      <c r="AA93" s="30" t="s">
        <v>310</v>
      </c>
      <c r="AB93" s="87" t="s">
        <v>45</v>
      </c>
    </row>
    <row r="94" spans="1:28" ht="71.25" customHeight="1" x14ac:dyDescent="0.25">
      <c r="A94" s="59" t="s">
        <v>328</v>
      </c>
      <c r="B94" s="60" t="s">
        <v>319</v>
      </c>
      <c r="C94" s="61" t="s">
        <v>329</v>
      </c>
      <c r="D94" s="61"/>
      <c r="E94" s="77">
        <v>43889</v>
      </c>
      <c r="F94" s="78" t="s">
        <v>84</v>
      </c>
      <c r="G94" s="182" t="s">
        <v>84</v>
      </c>
      <c r="H94" s="187" t="s">
        <v>78</v>
      </c>
      <c r="I94" s="188" t="s">
        <v>34</v>
      </c>
      <c r="J94" s="61" t="s">
        <v>187</v>
      </c>
      <c r="K94" s="63" t="s">
        <v>330</v>
      </c>
      <c r="L94" s="189" t="s">
        <v>331</v>
      </c>
      <c r="M94" s="69">
        <f>+N94+Q94+R94</f>
        <v>100000000</v>
      </c>
      <c r="N94" s="69">
        <f t="shared" si="2"/>
        <v>100000000</v>
      </c>
      <c r="O94" s="69">
        <v>100000000</v>
      </c>
      <c r="P94" s="69" t="s">
        <v>101</v>
      </c>
      <c r="Q94" s="69"/>
      <c r="R94" s="69"/>
      <c r="S94" s="63" t="s">
        <v>38</v>
      </c>
      <c r="T94" s="63" t="s">
        <v>39</v>
      </c>
      <c r="U94" s="69"/>
      <c r="V94" s="63" t="s">
        <v>69</v>
      </c>
      <c r="W94" s="63" t="s">
        <v>309</v>
      </c>
      <c r="X94" s="63" t="s">
        <v>160</v>
      </c>
      <c r="Y94" s="63" t="s">
        <v>42</v>
      </c>
      <c r="Z94" s="63" t="s">
        <v>43</v>
      </c>
      <c r="AA94" s="72" t="s">
        <v>310</v>
      </c>
      <c r="AB94" s="117" t="s">
        <v>45</v>
      </c>
    </row>
    <row r="95" spans="1:28" ht="71.25" customHeight="1" x14ac:dyDescent="0.25">
      <c r="A95" s="59" t="s">
        <v>328</v>
      </c>
      <c r="B95" s="60" t="s">
        <v>332</v>
      </c>
      <c r="C95" s="61" t="s">
        <v>333</v>
      </c>
      <c r="D95" s="61"/>
      <c r="E95" s="77">
        <v>43889</v>
      </c>
      <c r="F95" s="78" t="s">
        <v>84</v>
      </c>
      <c r="G95" s="182" t="s">
        <v>84</v>
      </c>
      <c r="H95" s="187">
        <v>2</v>
      </c>
      <c r="I95" s="188" t="s">
        <v>34</v>
      </c>
      <c r="J95" s="61" t="s">
        <v>214</v>
      </c>
      <c r="K95" s="63" t="s">
        <v>334</v>
      </c>
      <c r="L95" s="189" t="s">
        <v>335</v>
      </c>
      <c r="M95" s="69">
        <f>+N95+Q95+R95</f>
        <v>10000000</v>
      </c>
      <c r="N95" s="69">
        <f t="shared" si="2"/>
        <v>10000000</v>
      </c>
      <c r="O95" s="69">
        <v>10000000</v>
      </c>
      <c r="P95" s="69" t="s">
        <v>101</v>
      </c>
      <c r="Q95" s="69"/>
      <c r="R95" s="69"/>
      <c r="S95" s="63" t="s">
        <v>38</v>
      </c>
      <c r="T95" s="63" t="s">
        <v>39</v>
      </c>
      <c r="U95" s="69"/>
      <c r="V95" s="63" t="s">
        <v>69</v>
      </c>
      <c r="W95" s="63" t="s">
        <v>309</v>
      </c>
      <c r="X95" s="63" t="s">
        <v>160</v>
      </c>
      <c r="Y95" s="63" t="s">
        <v>42</v>
      </c>
      <c r="Z95" s="63" t="s">
        <v>43</v>
      </c>
      <c r="AA95" s="72" t="s">
        <v>310</v>
      </c>
      <c r="AB95" s="117" t="s">
        <v>45</v>
      </c>
    </row>
    <row r="96" spans="1:28" ht="42.75" customHeight="1" x14ac:dyDescent="0.25">
      <c r="A96" s="32" t="s">
        <v>328</v>
      </c>
      <c r="B96" s="33" t="s">
        <v>336</v>
      </c>
      <c r="C96" s="34" t="s">
        <v>337</v>
      </c>
      <c r="D96" s="35">
        <v>44012</v>
      </c>
      <c r="E96" s="191"/>
      <c r="F96" s="37"/>
      <c r="G96" s="37"/>
      <c r="H96" s="55" t="s">
        <v>78</v>
      </c>
      <c r="I96" s="39" t="s">
        <v>34</v>
      </c>
      <c r="J96" s="40" t="s">
        <v>49</v>
      </c>
      <c r="K96" s="40" t="s">
        <v>338</v>
      </c>
      <c r="L96" s="93" t="s">
        <v>37</v>
      </c>
      <c r="M96" s="42">
        <f t="shared" si="3"/>
        <v>332618904</v>
      </c>
      <c r="N96" s="42">
        <f t="shared" si="2"/>
        <v>332618904</v>
      </c>
      <c r="O96" s="42">
        <f>332618904</f>
        <v>332618904</v>
      </c>
      <c r="P96" s="42" t="s">
        <v>101</v>
      </c>
      <c r="Q96" s="42"/>
      <c r="R96" s="42"/>
      <c r="S96" s="44" t="s">
        <v>38</v>
      </c>
      <c r="T96" s="44" t="s">
        <v>39</v>
      </c>
      <c r="U96" s="42"/>
      <c r="V96" s="44" t="s">
        <v>51</v>
      </c>
      <c r="W96" s="44" t="s">
        <v>309</v>
      </c>
      <c r="X96" s="44" t="s">
        <v>160</v>
      </c>
      <c r="Y96" s="44" t="s">
        <v>42</v>
      </c>
      <c r="Z96" s="44" t="s">
        <v>43</v>
      </c>
      <c r="AA96" s="45" t="s">
        <v>310</v>
      </c>
      <c r="AB96" s="89" t="s">
        <v>45</v>
      </c>
    </row>
    <row r="97" spans="1:28" ht="57" customHeight="1" x14ac:dyDescent="0.25">
      <c r="A97" s="17" t="s">
        <v>328</v>
      </c>
      <c r="B97" s="18" t="s">
        <v>336</v>
      </c>
      <c r="C97" s="84" t="s">
        <v>339</v>
      </c>
      <c r="D97" s="48"/>
      <c r="E97" s="20">
        <v>43955</v>
      </c>
      <c r="F97" s="21" t="s">
        <v>53</v>
      </c>
      <c r="G97" s="180" t="s">
        <v>33</v>
      </c>
      <c r="H97" s="184">
        <v>6</v>
      </c>
      <c r="I97" s="92" t="s">
        <v>34</v>
      </c>
      <c r="J97" s="19" t="s">
        <v>35</v>
      </c>
      <c r="K97" s="29" t="s">
        <v>338</v>
      </c>
      <c r="L97" s="190" t="s">
        <v>37</v>
      </c>
      <c r="M97" s="26">
        <f t="shared" si="3"/>
        <v>1383151646</v>
      </c>
      <c r="N97" s="26">
        <f t="shared" si="2"/>
        <v>330547864</v>
      </c>
      <c r="O97" s="75">
        <f>330517864+2101040-703000-1368040</f>
        <v>330547864</v>
      </c>
      <c r="P97" s="26" t="s">
        <v>101</v>
      </c>
      <c r="Q97" s="26">
        <v>691219378</v>
      </c>
      <c r="R97" s="26">
        <v>361384404</v>
      </c>
      <c r="S97" s="29" t="s">
        <v>169</v>
      </c>
      <c r="T97" s="29" t="s">
        <v>165</v>
      </c>
      <c r="U97" s="26"/>
      <c r="V97" s="29"/>
      <c r="W97" s="29" t="s">
        <v>309</v>
      </c>
      <c r="X97" s="29" t="s">
        <v>160</v>
      </c>
      <c r="Y97" s="29" t="s">
        <v>42</v>
      </c>
      <c r="Z97" s="29" t="s">
        <v>43</v>
      </c>
      <c r="AA97" s="30" t="s">
        <v>310</v>
      </c>
      <c r="AB97" s="87" t="s">
        <v>45</v>
      </c>
    </row>
    <row r="98" spans="1:28" ht="42.75" customHeight="1" x14ac:dyDescent="0.25">
      <c r="A98" s="32" t="s">
        <v>328</v>
      </c>
      <c r="B98" s="33">
        <v>78102201</v>
      </c>
      <c r="C98" s="34" t="s">
        <v>340</v>
      </c>
      <c r="D98" s="35">
        <v>44012</v>
      </c>
      <c r="E98" s="52"/>
      <c r="F98" s="37"/>
      <c r="G98" s="37"/>
      <c r="H98" s="55" t="s">
        <v>78</v>
      </c>
      <c r="I98" s="39" t="s">
        <v>34</v>
      </c>
      <c r="J98" s="40" t="s">
        <v>49</v>
      </c>
      <c r="K98" s="40" t="s">
        <v>341</v>
      </c>
      <c r="L98" s="93" t="s">
        <v>37</v>
      </c>
      <c r="M98" s="42">
        <f t="shared" si="3"/>
        <v>224910000</v>
      </c>
      <c r="N98" s="42">
        <f t="shared" si="2"/>
        <v>224910000</v>
      </c>
      <c r="O98" s="42">
        <v>224910000</v>
      </c>
      <c r="P98" s="42" t="s">
        <v>101</v>
      </c>
      <c r="Q98" s="42"/>
      <c r="R98" s="42"/>
      <c r="S98" s="44" t="s">
        <v>38</v>
      </c>
      <c r="T98" s="44" t="s">
        <v>39</v>
      </c>
      <c r="U98" s="42"/>
      <c r="V98" s="44" t="s">
        <v>51</v>
      </c>
      <c r="W98" s="44" t="s">
        <v>309</v>
      </c>
      <c r="X98" s="44" t="s">
        <v>160</v>
      </c>
      <c r="Y98" s="44" t="s">
        <v>42</v>
      </c>
      <c r="Z98" s="44" t="s">
        <v>43</v>
      </c>
      <c r="AA98" s="45" t="s">
        <v>310</v>
      </c>
      <c r="AB98" s="89" t="s">
        <v>45</v>
      </c>
    </row>
    <row r="99" spans="1:28" ht="57" customHeight="1" x14ac:dyDescent="0.25">
      <c r="A99" s="17" t="s">
        <v>328</v>
      </c>
      <c r="B99" s="18">
        <v>78102201</v>
      </c>
      <c r="C99" s="84" t="s">
        <v>342</v>
      </c>
      <c r="D99" s="19"/>
      <c r="E99" s="20">
        <v>43955</v>
      </c>
      <c r="F99" s="21" t="s">
        <v>53</v>
      </c>
      <c r="G99" s="180" t="s">
        <v>33</v>
      </c>
      <c r="H99" s="184">
        <v>6</v>
      </c>
      <c r="I99" s="92" t="s">
        <v>34</v>
      </c>
      <c r="J99" s="19" t="s">
        <v>35</v>
      </c>
      <c r="K99" s="29" t="s">
        <v>341</v>
      </c>
      <c r="L99" s="190" t="s">
        <v>37</v>
      </c>
      <c r="M99" s="26">
        <f t="shared" si="3"/>
        <v>718871748</v>
      </c>
      <c r="N99" s="26">
        <f t="shared" si="2"/>
        <v>161809866</v>
      </c>
      <c r="O99" s="75">
        <f>173945940-12136074</f>
        <v>161809866</v>
      </c>
      <c r="P99" s="26" t="s">
        <v>101</v>
      </c>
      <c r="Q99" s="26">
        <v>365286480</v>
      </c>
      <c r="R99" s="26">
        <v>191775402</v>
      </c>
      <c r="S99" s="29" t="s">
        <v>169</v>
      </c>
      <c r="T99" s="29" t="s">
        <v>165</v>
      </c>
      <c r="U99" s="26"/>
      <c r="V99" s="29"/>
      <c r="W99" s="29" t="s">
        <v>309</v>
      </c>
      <c r="X99" s="29" t="s">
        <v>160</v>
      </c>
      <c r="Y99" s="29" t="s">
        <v>42</v>
      </c>
      <c r="Z99" s="29" t="s">
        <v>43</v>
      </c>
      <c r="AA99" s="30" t="s">
        <v>310</v>
      </c>
      <c r="AB99" s="87" t="s">
        <v>45</v>
      </c>
    </row>
    <row r="100" spans="1:28" ht="42.75" customHeight="1" x14ac:dyDescent="0.25">
      <c r="A100" s="32" t="s">
        <v>343</v>
      </c>
      <c r="B100" s="33">
        <v>78181701</v>
      </c>
      <c r="C100" s="34" t="s">
        <v>344</v>
      </c>
      <c r="D100" s="35">
        <v>44165</v>
      </c>
      <c r="E100" s="52"/>
      <c r="F100" s="37"/>
      <c r="G100" s="37"/>
      <c r="H100" s="55">
        <v>11</v>
      </c>
      <c r="I100" s="39" t="s">
        <v>34</v>
      </c>
      <c r="J100" s="40" t="s">
        <v>49</v>
      </c>
      <c r="K100" s="40" t="s">
        <v>345</v>
      </c>
      <c r="L100" s="93" t="s">
        <v>346</v>
      </c>
      <c r="M100" s="42">
        <f t="shared" si="3"/>
        <v>71005142</v>
      </c>
      <c r="N100" s="42">
        <f t="shared" si="2"/>
        <v>71005142</v>
      </c>
      <c r="O100" s="42">
        <f>71005142</f>
        <v>71005142</v>
      </c>
      <c r="P100" s="42">
        <v>0</v>
      </c>
      <c r="Q100" s="42"/>
      <c r="R100" s="42"/>
      <c r="S100" s="44" t="s">
        <v>38</v>
      </c>
      <c r="T100" s="44" t="s">
        <v>39</v>
      </c>
      <c r="U100" s="42"/>
      <c r="V100" s="44" t="s">
        <v>51</v>
      </c>
      <c r="W100" s="44" t="s">
        <v>347</v>
      </c>
      <c r="X100" s="44" t="s">
        <v>160</v>
      </c>
      <c r="Y100" s="44" t="s">
        <v>42</v>
      </c>
      <c r="Z100" s="44" t="s">
        <v>43</v>
      </c>
      <c r="AA100" s="45" t="s">
        <v>161</v>
      </c>
      <c r="AB100" s="89" t="s">
        <v>45</v>
      </c>
    </row>
    <row r="101" spans="1:28" ht="42.75" customHeight="1" x14ac:dyDescent="0.25">
      <c r="A101" s="17" t="s">
        <v>343</v>
      </c>
      <c r="B101" s="18">
        <v>78181702</v>
      </c>
      <c r="C101" s="19" t="s">
        <v>348</v>
      </c>
      <c r="D101" s="48"/>
      <c r="E101" s="20">
        <v>44078</v>
      </c>
      <c r="F101" s="21" t="s">
        <v>194</v>
      </c>
      <c r="G101" s="21" t="s">
        <v>245</v>
      </c>
      <c r="H101" s="57">
        <v>12</v>
      </c>
      <c r="I101" s="23" t="s">
        <v>34</v>
      </c>
      <c r="J101" s="24" t="s">
        <v>349</v>
      </c>
      <c r="K101" s="24" t="s">
        <v>345</v>
      </c>
      <c r="L101" s="97" t="s">
        <v>350</v>
      </c>
      <c r="M101" s="26">
        <f>+N101+Q101+R101</f>
        <v>149275531.35000002</v>
      </c>
      <c r="N101" s="26">
        <f t="shared" si="2"/>
        <v>7875000</v>
      </c>
      <c r="O101" s="26">
        <f>7875000</f>
        <v>7875000</v>
      </c>
      <c r="P101" s="26"/>
      <c r="Q101" s="26">
        <v>87690252</v>
      </c>
      <c r="R101" s="26">
        <v>53710279.350000009</v>
      </c>
      <c r="S101" s="29" t="s">
        <v>164</v>
      </c>
      <c r="T101" s="29" t="s">
        <v>165</v>
      </c>
      <c r="U101" s="26"/>
      <c r="V101" s="29" t="s">
        <v>51</v>
      </c>
      <c r="W101" s="29" t="s">
        <v>347</v>
      </c>
      <c r="X101" s="29" t="s">
        <v>160</v>
      </c>
      <c r="Y101" s="29" t="s">
        <v>42</v>
      </c>
      <c r="Z101" s="29" t="s">
        <v>43</v>
      </c>
      <c r="AA101" s="30" t="s">
        <v>174</v>
      </c>
      <c r="AB101" s="87" t="s">
        <v>45</v>
      </c>
    </row>
    <row r="102" spans="1:28" ht="42" customHeight="1" x14ac:dyDescent="0.25">
      <c r="A102" s="32" t="s">
        <v>343</v>
      </c>
      <c r="B102" s="33" t="s">
        <v>351</v>
      </c>
      <c r="C102" s="34" t="s">
        <v>352</v>
      </c>
      <c r="D102" s="35">
        <v>44165</v>
      </c>
      <c r="E102" s="52">
        <v>44078</v>
      </c>
      <c r="F102" s="37" t="s">
        <v>194</v>
      </c>
      <c r="G102" s="37" t="s">
        <v>245</v>
      </c>
      <c r="H102" s="55">
        <v>11</v>
      </c>
      <c r="I102" s="39" t="s">
        <v>34</v>
      </c>
      <c r="J102" s="40" t="s">
        <v>49</v>
      </c>
      <c r="K102" s="40" t="s">
        <v>353</v>
      </c>
      <c r="L102" s="93" t="s">
        <v>354</v>
      </c>
      <c r="M102" s="42">
        <f t="shared" si="3"/>
        <v>182770743</v>
      </c>
      <c r="N102" s="42">
        <f t="shared" si="2"/>
        <v>182770743</v>
      </c>
      <c r="O102" s="42">
        <f>164770743+18000000</f>
        <v>182770743</v>
      </c>
      <c r="P102" s="42">
        <v>0</v>
      </c>
      <c r="Q102" s="42"/>
      <c r="R102" s="42"/>
      <c r="S102" s="44" t="s">
        <v>38</v>
      </c>
      <c r="T102" s="44" t="s">
        <v>39</v>
      </c>
      <c r="U102" s="42"/>
      <c r="V102" s="44" t="s">
        <v>51</v>
      </c>
      <c r="W102" s="44" t="s">
        <v>347</v>
      </c>
      <c r="X102" s="44" t="s">
        <v>160</v>
      </c>
      <c r="Y102" s="44" t="s">
        <v>42</v>
      </c>
      <c r="Z102" s="44" t="s">
        <v>43</v>
      </c>
      <c r="AA102" s="45" t="s">
        <v>161</v>
      </c>
      <c r="AB102" s="89" t="s">
        <v>45</v>
      </c>
    </row>
    <row r="103" spans="1:28" ht="42" customHeight="1" x14ac:dyDescent="0.25">
      <c r="A103" s="17" t="s">
        <v>343</v>
      </c>
      <c r="B103" s="18" t="s">
        <v>355</v>
      </c>
      <c r="C103" s="19" t="s">
        <v>356</v>
      </c>
      <c r="D103" s="48"/>
      <c r="E103" s="20">
        <v>44078</v>
      </c>
      <c r="F103" s="21" t="s">
        <v>194</v>
      </c>
      <c r="G103" s="21" t="s">
        <v>245</v>
      </c>
      <c r="H103" s="57">
        <v>12</v>
      </c>
      <c r="I103" s="23" t="s">
        <v>34</v>
      </c>
      <c r="J103" s="24" t="s">
        <v>67</v>
      </c>
      <c r="K103" s="24" t="s">
        <v>353</v>
      </c>
      <c r="L103" s="97" t="s">
        <v>357</v>
      </c>
      <c r="M103" s="26">
        <f>+N103+Q103+R103</f>
        <v>570252544</v>
      </c>
      <c r="N103" s="26">
        <f t="shared" si="2"/>
        <v>18252544</v>
      </c>
      <c r="O103" s="26">
        <v>18252544</v>
      </c>
      <c r="P103" s="26"/>
      <c r="Q103" s="26">
        <v>340000000</v>
      </c>
      <c r="R103" s="26">
        <v>212000000</v>
      </c>
      <c r="S103" s="29" t="s">
        <v>259</v>
      </c>
      <c r="T103" s="29" t="s">
        <v>165</v>
      </c>
      <c r="U103" s="26"/>
      <c r="V103" s="29"/>
      <c r="W103" s="29" t="s">
        <v>347</v>
      </c>
      <c r="X103" s="29" t="s">
        <v>160</v>
      </c>
      <c r="Y103" s="29" t="s">
        <v>42</v>
      </c>
      <c r="Z103" s="29" t="s">
        <v>43</v>
      </c>
      <c r="AA103" s="30" t="s">
        <v>174</v>
      </c>
      <c r="AB103" s="87" t="s">
        <v>45</v>
      </c>
    </row>
    <row r="104" spans="1:28" ht="42" customHeight="1" x14ac:dyDescent="0.25">
      <c r="A104" s="32" t="s">
        <v>343</v>
      </c>
      <c r="B104" s="33" t="s">
        <v>358</v>
      </c>
      <c r="C104" s="34" t="s">
        <v>359</v>
      </c>
      <c r="D104" s="35">
        <v>44165</v>
      </c>
      <c r="E104" s="52"/>
      <c r="F104" s="37"/>
      <c r="G104" s="37"/>
      <c r="H104" s="55">
        <v>11</v>
      </c>
      <c r="I104" s="39" t="s">
        <v>34</v>
      </c>
      <c r="J104" s="40" t="s">
        <v>49</v>
      </c>
      <c r="K104" s="40" t="s">
        <v>360</v>
      </c>
      <c r="L104" s="93" t="s">
        <v>361</v>
      </c>
      <c r="M104" s="42">
        <f t="shared" si="3"/>
        <v>137765002.3545455</v>
      </c>
      <c r="N104" s="42">
        <f t="shared" si="2"/>
        <v>137765002.3545455</v>
      </c>
      <c r="O104" s="42">
        <f>150915298-13150295.6454545</f>
        <v>137765002.3545455</v>
      </c>
      <c r="P104" s="42">
        <v>0</v>
      </c>
      <c r="Q104" s="42"/>
      <c r="R104" s="42"/>
      <c r="S104" s="44" t="s">
        <v>38</v>
      </c>
      <c r="T104" s="44" t="s">
        <v>39</v>
      </c>
      <c r="U104" s="42"/>
      <c r="V104" s="44" t="s">
        <v>51</v>
      </c>
      <c r="W104" s="44" t="s">
        <v>347</v>
      </c>
      <c r="X104" s="44" t="s">
        <v>160</v>
      </c>
      <c r="Y104" s="44" t="s">
        <v>42</v>
      </c>
      <c r="Z104" s="44" t="s">
        <v>43</v>
      </c>
      <c r="AA104" s="45" t="s">
        <v>161</v>
      </c>
      <c r="AB104" s="89" t="s">
        <v>45</v>
      </c>
    </row>
    <row r="105" spans="1:28" ht="42" customHeight="1" x14ac:dyDescent="0.25">
      <c r="A105" s="17" t="s">
        <v>343</v>
      </c>
      <c r="B105" s="18" t="s">
        <v>362</v>
      </c>
      <c r="C105" s="19" t="s">
        <v>363</v>
      </c>
      <c r="D105" s="48"/>
      <c r="E105" s="20">
        <v>44078</v>
      </c>
      <c r="F105" s="21" t="s">
        <v>150</v>
      </c>
      <c r="G105" s="21" t="s">
        <v>150</v>
      </c>
      <c r="H105" s="57">
        <v>1</v>
      </c>
      <c r="I105" s="23" t="s">
        <v>34</v>
      </c>
      <c r="J105" s="24" t="s">
        <v>67</v>
      </c>
      <c r="K105" s="24" t="s">
        <v>364</v>
      </c>
      <c r="L105" s="97" t="s">
        <v>361</v>
      </c>
      <c r="M105" s="26">
        <f>+N105+Q105+R105</f>
        <v>258245890.2954545</v>
      </c>
      <c r="N105" s="26">
        <f t="shared" si="2"/>
        <v>13150295.6454545</v>
      </c>
      <c r="O105" s="26">
        <v>13150295.6454545</v>
      </c>
      <c r="P105" s="26"/>
      <c r="Q105" s="26">
        <v>151997268</v>
      </c>
      <c r="R105" s="26">
        <v>93098326.650000006</v>
      </c>
      <c r="S105" s="29" t="s">
        <v>259</v>
      </c>
      <c r="T105" s="29" t="s">
        <v>165</v>
      </c>
      <c r="U105" s="26"/>
      <c r="V105" s="29" t="s">
        <v>51</v>
      </c>
      <c r="W105" s="29" t="s">
        <v>347</v>
      </c>
      <c r="X105" s="29" t="s">
        <v>160</v>
      </c>
      <c r="Y105" s="29" t="s">
        <v>42</v>
      </c>
      <c r="Z105" s="29" t="s">
        <v>43</v>
      </c>
      <c r="AA105" s="30" t="s">
        <v>174</v>
      </c>
      <c r="AB105" s="87" t="s">
        <v>45</v>
      </c>
    </row>
    <row r="106" spans="1:28" ht="57" customHeight="1" x14ac:dyDescent="0.25">
      <c r="A106" s="32" t="s">
        <v>343</v>
      </c>
      <c r="B106" s="33" t="s">
        <v>365</v>
      </c>
      <c r="C106" s="34" t="s">
        <v>366</v>
      </c>
      <c r="D106" s="35">
        <v>44135</v>
      </c>
      <c r="E106" s="52">
        <v>44022</v>
      </c>
      <c r="F106" s="37" t="s">
        <v>150</v>
      </c>
      <c r="G106" s="37" t="s">
        <v>194</v>
      </c>
      <c r="H106" s="55">
        <v>10</v>
      </c>
      <c r="I106" s="39" t="s">
        <v>34</v>
      </c>
      <c r="J106" s="40" t="s">
        <v>49</v>
      </c>
      <c r="K106" s="40" t="s">
        <v>367</v>
      </c>
      <c r="L106" s="93" t="s">
        <v>368</v>
      </c>
      <c r="M106" s="42">
        <f t="shared" si="3"/>
        <v>669030518</v>
      </c>
      <c r="N106" s="42">
        <f t="shared" si="2"/>
        <v>669030518</v>
      </c>
      <c r="O106" s="42">
        <f>213543660+362053412</f>
        <v>575597072</v>
      </c>
      <c r="P106" s="42">
        <v>93433446</v>
      </c>
      <c r="Q106" s="42"/>
      <c r="R106" s="42"/>
      <c r="S106" s="44" t="s">
        <v>38</v>
      </c>
      <c r="T106" s="44" t="s">
        <v>39</v>
      </c>
      <c r="U106" s="42"/>
      <c r="V106" s="44" t="s">
        <v>51</v>
      </c>
      <c r="W106" s="44" t="s">
        <v>347</v>
      </c>
      <c r="X106" s="44" t="s">
        <v>160</v>
      </c>
      <c r="Y106" s="44" t="s">
        <v>42</v>
      </c>
      <c r="Z106" s="44" t="s">
        <v>43</v>
      </c>
      <c r="AA106" s="45" t="s">
        <v>161</v>
      </c>
      <c r="AB106" s="89" t="s">
        <v>45</v>
      </c>
    </row>
    <row r="107" spans="1:28" ht="42.75" customHeight="1" x14ac:dyDescent="0.25">
      <c r="A107" s="17" t="s">
        <v>343</v>
      </c>
      <c r="B107" s="190" t="s">
        <v>365</v>
      </c>
      <c r="C107" s="192" t="s">
        <v>369</v>
      </c>
      <c r="D107" s="193"/>
      <c r="E107" s="20">
        <v>44022</v>
      </c>
      <c r="F107" s="81" t="s">
        <v>150</v>
      </c>
      <c r="G107" s="56" t="s">
        <v>194</v>
      </c>
      <c r="H107" s="30">
        <v>2</v>
      </c>
      <c r="I107" s="190" t="s">
        <v>34</v>
      </c>
      <c r="J107" s="194" t="s">
        <v>116</v>
      </c>
      <c r="K107" s="190" t="s">
        <v>367</v>
      </c>
      <c r="L107" s="195" t="s">
        <v>368</v>
      </c>
      <c r="M107" s="26">
        <f t="shared" si="3"/>
        <v>1890177030</v>
      </c>
      <c r="N107" s="26">
        <f t="shared" si="2"/>
        <v>89047431</v>
      </c>
      <c r="O107" s="26">
        <f>117301777-50233599</f>
        <v>67068178</v>
      </c>
      <c r="P107" s="26">
        <v>21979253</v>
      </c>
      <c r="Q107" s="26">
        <v>1116979596</v>
      </c>
      <c r="R107" s="26">
        <v>684150003</v>
      </c>
      <c r="S107" s="29" t="s">
        <v>259</v>
      </c>
      <c r="T107" s="29" t="s">
        <v>165</v>
      </c>
      <c r="U107" s="26"/>
      <c r="V107" s="29"/>
      <c r="W107" s="29" t="s">
        <v>347</v>
      </c>
      <c r="X107" s="29" t="s">
        <v>160</v>
      </c>
      <c r="Y107" s="29" t="s">
        <v>42</v>
      </c>
      <c r="Z107" s="29" t="s">
        <v>43</v>
      </c>
      <c r="AA107" s="30" t="s">
        <v>161</v>
      </c>
      <c r="AB107" s="196" t="s">
        <v>45</v>
      </c>
    </row>
    <row r="108" spans="1:28" ht="71.25" customHeight="1" x14ac:dyDescent="0.25">
      <c r="A108" s="32" t="s">
        <v>343</v>
      </c>
      <c r="B108" s="33" t="s">
        <v>365</v>
      </c>
      <c r="C108" s="34" t="s">
        <v>370</v>
      </c>
      <c r="D108" s="35">
        <v>44150</v>
      </c>
      <c r="E108" s="52">
        <v>44071</v>
      </c>
      <c r="F108" s="37" t="s">
        <v>150</v>
      </c>
      <c r="G108" s="37" t="s">
        <v>245</v>
      </c>
      <c r="H108" s="55">
        <v>10.5</v>
      </c>
      <c r="I108" s="39" t="s">
        <v>34</v>
      </c>
      <c r="J108" s="40" t="s">
        <v>49</v>
      </c>
      <c r="K108" s="40" t="s">
        <v>367</v>
      </c>
      <c r="L108" s="93" t="s">
        <v>37</v>
      </c>
      <c r="M108" s="42">
        <f t="shared" si="3"/>
        <v>1209406792.7537501</v>
      </c>
      <c r="N108" s="42">
        <f t="shared" si="2"/>
        <v>1209406792.7537501</v>
      </c>
      <c r="O108" s="42">
        <v>1141899414.7537501</v>
      </c>
      <c r="P108" s="42">
        <v>67507378</v>
      </c>
      <c r="Q108" s="42"/>
      <c r="R108" s="42"/>
      <c r="S108" s="44" t="s">
        <v>38</v>
      </c>
      <c r="T108" s="44" t="s">
        <v>39</v>
      </c>
      <c r="U108" s="42"/>
      <c r="V108" s="44" t="s">
        <v>51</v>
      </c>
      <c r="W108" s="44" t="s">
        <v>347</v>
      </c>
      <c r="X108" s="44" t="s">
        <v>160</v>
      </c>
      <c r="Y108" s="44" t="s">
        <v>42</v>
      </c>
      <c r="Z108" s="44" t="s">
        <v>43</v>
      </c>
      <c r="AA108" s="45" t="s">
        <v>161</v>
      </c>
      <c r="AB108" s="89" t="s">
        <v>45</v>
      </c>
    </row>
    <row r="109" spans="1:28" ht="111" customHeight="1" x14ac:dyDescent="0.25">
      <c r="A109" s="17" t="s">
        <v>343</v>
      </c>
      <c r="B109" s="190" t="s">
        <v>365</v>
      </c>
      <c r="C109" s="192" t="s">
        <v>371</v>
      </c>
      <c r="D109" s="193"/>
      <c r="E109" s="20">
        <v>44104</v>
      </c>
      <c r="F109" s="81" t="s">
        <v>150</v>
      </c>
      <c r="G109" s="56" t="s">
        <v>194</v>
      </c>
      <c r="H109" s="30">
        <v>45</v>
      </c>
      <c r="I109" s="23" t="s">
        <v>171</v>
      </c>
      <c r="J109" s="194" t="s">
        <v>116</v>
      </c>
      <c r="K109" s="190" t="s">
        <v>367</v>
      </c>
      <c r="L109" s="197" t="s">
        <v>37</v>
      </c>
      <c r="M109" s="26">
        <f t="shared" si="3"/>
        <v>3205734259.5358701</v>
      </c>
      <c r="N109" s="26">
        <f t="shared" si="2"/>
        <v>212184692.53586999</v>
      </c>
      <c r="O109" s="26">
        <f>200389918.53587</f>
        <v>200389918.53586999</v>
      </c>
      <c r="P109" s="26">
        <v>11794774</v>
      </c>
      <c r="Q109" s="26">
        <v>1835730072</v>
      </c>
      <c r="R109" s="26">
        <v>1157819495</v>
      </c>
      <c r="S109" s="29" t="s">
        <v>259</v>
      </c>
      <c r="T109" s="29" t="s">
        <v>165</v>
      </c>
      <c r="U109" s="26"/>
      <c r="V109" s="29"/>
      <c r="W109" s="29" t="s">
        <v>347</v>
      </c>
      <c r="X109" s="29" t="s">
        <v>160</v>
      </c>
      <c r="Y109" s="29" t="s">
        <v>42</v>
      </c>
      <c r="Z109" s="29" t="s">
        <v>43</v>
      </c>
      <c r="AA109" s="30" t="s">
        <v>161</v>
      </c>
      <c r="AB109" s="196" t="s">
        <v>45</v>
      </c>
    </row>
    <row r="110" spans="1:28" ht="111" customHeight="1" x14ac:dyDescent="0.25">
      <c r="A110" s="32" t="s">
        <v>343</v>
      </c>
      <c r="B110" s="186" t="s">
        <v>372</v>
      </c>
      <c r="C110" s="198" t="s">
        <v>373</v>
      </c>
      <c r="D110" s="199"/>
      <c r="E110" s="52">
        <v>43868</v>
      </c>
      <c r="F110" s="128" t="s">
        <v>91</v>
      </c>
      <c r="G110" s="100" t="s">
        <v>374</v>
      </c>
      <c r="H110" s="45">
        <v>9</v>
      </c>
      <c r="I110" s="39" t="s">
        <v>34</v>
      </c>
      <c r="J110" s="200" t="s">
        <v>163</v>
      </c>
      <c r="K110" s="186" t="s">
        <v>367</v>
      </c>
      <c r="L110" s="201" t="s">
        <v>37</v>
      </c>
      <c r="M110" s="42">
        <f>+N110+Q110+R110</f>
        <v>239757064</v>
      </c>
      <c r="N110" s="42">
        <f t="shared" si="2"/>
        <v>239757064</v>
      </c>
      <c r="O110" s="42">
        <f>58627461+181129603</f>
        <v>239757064</v>
      </c>
      <c r="P110" s="42"/>
      <c r="Q110" s="94"/>
      <c r="R110" s="94"/>
      <c r="S110" s="44" t="s">
        <v>38</v>
      </c>
      <c r="T110" s="44" t="s">
        <v>39</v>
      </c>
      <c r="U110" s="42"/>
      <c r="V110" s="44" t="s">
        <v>93</v>
      </c>
      <c r="W110" s="44" t="s">
        <v>347</v>
      </c>
      <c r="X110" s="44" t="s">
        <v>160</v>
      </c>
      <c r="Y110" s="44" t="s">
        <v>42</v>
      </c>
      <c r="Z110" s="44" t="s">
        <v>43</v>
      </c>
      <c r="AA110" s="45" t="s">
        <v>174</v>
      </c>
      <c r="AB110" s="202" t="s">
        <v>45</v>
      </c>
    </row>
    <row r="111" spans="1:28" ht="42.75" customHeight="1" x14ac:dyDescent="0.25">
      <c r="A111" s="17" t="s">
        <v>343</v>
      </c>
      <c r="B111" s="190">
        <v>80131502</v>
      </c>
      <c r="C111" s="192" t="s">
        <v>375</v>
      </c>
      <c r="D111" s="192"/>
      <c r="E111" s="20">
        <v>44071</v>
      </c>
      <c r="F111" s="203" t="s">
        <v>150</v>
      </c>
      <c r="G111" s="203" t="s">
        <v>245</v>
      </c>
      <c r="H111" s="197">
        <v>12</v>
      </c>
      <c r="I111" s="92" t="s">
        <v>34</v>
      </c>
      <c r="J111" s="192" t="s">
        <v>35</v>
      </c>
      <c r="K111" s="194" t="s">
        <v>376</v>
      </c>
      <c r="L111" s="97" t="s">
        <v>377</v>
      </c>
      <c r="M111" s="26">
        <f t="shared" si="3"/>
        <v>6020537619</v>
      </c>
      <c r="N111" s="26">
        <f t="shared" ref="N111:N172" si="4">+P111+O111</f>
        <v>2238253740</v>
      </c>
      <c r="O111" s="26">
        <v>2238253740</v>
      </c>
      <c r="P111" s="26">
        <v>0</v>
      </c>
      <c r="Q111" s="26">
        <v>2350166430</v>
      </c>
      <c r="R111" s="26">
        <v>1432117449</v>
      </c>
      <c r="S111" s="29" t="s">
        <v>164</v>
      </c>
      <c r="T111" s="29" t="s">
        <v>165</v>
      </c>
      <c r="U111" s="26"/>
      <c r="V111" s="29"/>
      <c r="W111" s="29" t="s">
        <v>347</v>
      </c>
      <c r="X111" s="29" t="s">
        <v>160</v>
      </c>
      <c r="Y111" s="29" t="s">
        <v>42</v>
      </c>
      <c r="Z111" s="29" t="s">
        <v>43</v>
      </c>
      <c r="AA111" s="30" t="s">
        <v>161</v>
      </c>
      <c r="AB111" s="196" t="s">
        <v>45</v>
      </c>
    </row>
    <row r="112" spans="1:28" ht="57" customHeight="1" x14ac:dyDescent="0.25">
      <c r="A112" s="32" t="s">
        <v>343</v>
      </c>
      <c r="B112" s="33">
        <v>80131502</v>
      </c>
      <c r="C112" s="34" t="s">
        <v>378</v>
      </c>
      <c r="D112" s="35">
        <v>44165</v>
      </c>
      <c r="E112" s="52">
        <v>44071</v>
      </c>
      <c r="F112" s="37" t="s">
        <v>150</v>
      </c>
      <c r="G112" s="37" t="s">
        <v>245</v>
      </c>
      <c r="H112" s="55">
        <v>11.5</v>
      </c>
      <c r="I112" s="39" t="s">
        <v>34</v>
      </c>
      <c r="J112" s="40" t="s">
        <v>49</v>
      </c>
      <c r="K112" s="40" t="s">
        <v>376</v>
      </c>
      <c r="L112" s="93" t="s">
        <v>377</v>
      </c>
      <c r="M112" s="42">
        <f t="shared" si="3"/>
        <v>294434604</v>
      </c>
      <c r="N112" s="42">
        <f t="shared" si="4"/>
        <v>294434604</v>
      </c>
      <c r="O112" s="42">
        <v>294434604</v>
      </c>
      <c r="P112" s="42">
        <v>0</v>
      </c>
      <c r="Q112" s="42"/>
      <c r="R112" s="42"/>
      <c r="S112" s="44" t="s">
        <v>38</v>
      </c>
      <c r="T112" s="44" t="s">
        <v>39</v>
      </c>
      <c r="U112" s="42">
        <v>332478489</v>
      </c>
      <c r="V112" s="44" t="s">
        <v>51</v>
      </c>
      <c r="W112" s="44" t="s">
        <v>347</v>
      </c>
      <c r="X112" s="44" t="s">
        <v>160</v>
      </c>
      <c r="Y112" s="44" t="s">
        <v>42</v>
      </c>
      <c r="Z112" s="44" t="s">
        <v>43</v>
      </c>
      <c r="AA112" s="45" t="s">
        <v>161</v>
      </c>
      <c r="AB112" s="89" t="s">
        <v>45</v>
      </c>
    </row>
    <row r="113" spans="1:28" ht="57" customHeight="1" x14ac:dyDescent="0.25">
      <c r="A113" s="17" t="s">
        <v>343</v>
      </c>
      <c r="B113" s="190">
        <v>80131502</v>
      </c>
      <c r="C113" s="192" t="s">
        <v>379</v>
      </c>
      <c r="D113" s="192"/>
      <c r="E113" s="20">
        <v>44141</v>
      </c>
      <c r="F113" s="203" t="s">
        <v>380</v>
      </c>
      <c r="G113" s="203" t="s">
        <v>380</v>
      </c>
      <c r="H113" s="30">
        <v>1</v>
      </c>
      <c r="I113" s="190" t="s">
        <v>34</v>
      </c>
      <c r="J113" s="194" t="s">
        <v>116</v>
      </c>
      <c r="K113" s="194" t="s">
        <v>376</v>
      </c>
      <c r="L113" s="97" t="s">
        <v>377</v>
      </c>
      <c r="M113" s="26">
        <f t="shared" si="3"/>
        <v>327069802.22220999</v>
      </c>
      <c r="N113" s="26">
        <f t="shared" si="4"/>
        <v>13687875.222210001</v>
      </c>
      <c r="O113" s="26">
        <v>13687875.222210001</v>
      </c>
      <c r="P113" s="26"/>
      <c r="Q113" s="26">
        <v>313381927</v>
      </c>
      <c r="R113" s="26"/>
      <c r="S113" s="29" t="s">
        <v>259</v>
      </c>
      <c r="T113" s="29" t="s">
        <v>165</v>
      </c>
      <c r="U113" s="26"/>
      <c r="V113" s="29"/>
      <c r="W113" s="29" t="s">
        <v>347</v>
      </c>
      <c r="X113" s="29" t="s">
        <v>160</v>
      </c>
      <c r="Y113" s="29" t="s">
        <v>42</v>
      </c>
      <c r="Z113" s="29" t="s">
        <v>43</v>
      </c>
      <c r="AA113" s="30" t="s">
        <v>161</v>
      </c>
      <c r="AB113" s="196" t="s">
        <v>45</v>
      </c>
    </row>
    <row r="114" spans="1:28" ht="71.25" customHeight="1" x14ac:dyDescent="0.25">
      <c r="A114" s="32" t="s">
        <v>343</v>
      </c>
      <c r="B114" s="33">
        <v>80131502</v>
      </c>
      <c r="C114" s="34" t="s">
        <v>381</v>
      </c>
      <c r="D114" s="35">
        <v>44180</v>
      </c>
      <c r="E114" s="52">
        <v>44071</v>
      </c>
      <c r="F114" s="37" t="s">
        <v>150</v>
      </c>
      <c r="G114" s="37" t="s">
        <v>245</v>
      </c>
      <c r="H114" s="55">
        <v>11.5</v>
      </c>
      <c r="I114" s="39" t="s">
        <v>34</v>
      </c>
      <c r="J114" s="40" t="s">
        <v>49</v>
      </c>
      <c r="K114" s="40" t="s">
        <v>382</v>
      </c>
      <c r="L114" s="93" t="s">
        <v>37</v>
      </c>
      <c r="M114" s="42">
        <f t="shared" si="3"/>
        <v>72622183</v>
      </c>
      <c r="N114" s="42">
        <f t="shared" si="4"/>
        <v>72622183</v>
      </c>
      <c r="O114" s="42">
        <v>0</v>
      </c>
      <c r="P114" s="42">
        <v>72622183</v>
      </c>
      <c r="Q114" s="42"/>
      <c r="R114" s="42"/>
      <c r="S114" s="44" t="s">
        <v>38</v>
      </c>
      <c r="T114" s="44" t="s">
        <v>39</v>
      </c>
      <c r="U114" s="42">
        <v>76253292</v>
      </c>
      <c r="V114" s="44" t="s">
        <v>51</v>
      </c>
      <c r="W114" s="44" t="s">
        <v>347</v>
      </c>
      <c r="X114" s="44" t="s">
        <v>160</v>
      </c>
      <c r="Y114" s="44" t="s">
        <v>42</v>
      </c>
      <c r="Z114" s="44" t="s">
        <v>43</v>
      </c>
      <c r="AA114" s="45" t="s">
        <v>161</v>
      </c>
      <c r="AB114" s="89" t="s">
        <v>45</v>
      </c>
    </row>
    <row r="115" spans="1:28" ht="84" x14ac:dyDescent="0.25">
      <c r="A115" s="17" t="s">
        <v>343</v>
      </c>
      <c r="B115" s="190">
        <v>80131502</v>
      </c>
      <c r="C115" s="192" t="s">
        <v>383</v>
      </c>
      <c r="D115" s="192"/>
      <c r="E115" s="20">
        <v>44071</v>
      </c>
      <c r="F115" s="203" t="s">
        <v>150</v>
      </c>
      <c r="G115" s="203" t="s">
        <v>245</v>
      </c>
      <c r="H115" s="204">
        <v>11.5</v>
      </c>
      <c r="I115" s="190" t="s">
        <v>34</v>
      </c>
      <c r="J115" s="192" t="s">
        <v>35</v>
      </c>
      <c r="K115" s="194" t="s">
        <v>384</v>
      </c>
      <c r="L115" s="97" t="s">
        <v>37</v>
      </c>
      <c r="M115" s="26">
        <f t="shared" si="3"/>
        <v>212369629</v>
      </c>
      <c r="N115" s="26">
        <f t="shared" si="4"/>
        <v>212369629</v>
      </c>
      <c r="O115" s="26">
        <v>0</v>
      </c>
      <c r="P115" s="26">
        <v>212369629</v>
      </c>
      <c r="Q115" s="26"/>
      <c r="R115" s="26"/>
      <c r="S115" s="29" t="s">
        <v>38</v>
      </c>
      <c r="T115" s="29" t="s">
        <v>39</v>
      </c>
      <c r="U115" s="26">
        <v>222988110</v>
      </c>
      <c r="V115" s="29"/>
      <c r="W115" s="29" t="s">
        <v>347</v>
      </c>
      <c r="X115" s="29" t="s">
        <v>160</v>
      </c>
      <c r="Y115" s="29" t="s">
        <v>42</v>
      </c>
      <c r="Z115" s="29" t="s">
        <v>43</v>
      </c>
      <c r="AA115" s="30" t="s">
        <v>161</v>
      </c>
      <c r="AB115" s="196" t="s">
        <v>45</v>
      </c>
    </row>
    <row r="116" spans="1:28" ht="84" x14ac:dyDescent="0.25">
      <c r="A116" s="17" t="s">
        <v>343</v>
      </c>
      <c r="B116" s="190">
        <v>80131502</v>
      </c>
      <c r="C116" s="205" t="s">
        <v>385</v>
      </c>
      <c r="D116" s="205"/>
      <c r="E116" s="20">
        <v>44141</v>
      </c>
      <c r="F116" s="203" t="s">
        <v>380</v>
      </c>
      <c r="G116" s="203" t="s">
        <v>380</v>
      </c>
      <c r="H116" s="30">
        <v>15</v>
      </c>
      <c r="I116" s="190" t="s">
        <v>29</v>
      </c>
      <c r="J116" s="194" t="s">
        <v>116</v>
      </c>
      <c r="K116" s="194" t="s">
        <v>384</v>
      </c>
      <c r="L116" s="97" t="s">
        <v>37</v>
      </c>
      <c r="M116" s="26">
        <f t="shared" si="3"/>
        <v>2500000</v>
      </c>
      <c r="N116" s="26">
        <f t="shared" si="4"/>
        <v>2500000</v>
      </c>
      <c r="O116" s="26">
        <v>0</v>
      </c>
      <c r="P116" s="26">
        <v>2500000</v>
      </c>
      <c r="Q116" s="26"/>
      <c r="R116" s="26"/>
      <c r="S116" s="29" t="s">
        <v>38</v>
      </c>
      <c r="T116" s="29" t="s">
        <v>39</v>
      </c>
      <c r="U116" s="26"/>
      <c r="V116" s="29"/>
      <c r="W116" s="29" t="s">
        <v>347</v>
      </c>
      <c r="X116" s="29" t="s">
        <v>160</v>
      </c>
      <c r="Y116" s="29" t="s">
        <v>42</v>
      </c>
      <c r="Z116" s="29" t="s">
        <v>43</v>
      </c>
      <c r="AA116" s="30" t="s">
        <v>161</v>
      </c>
      <c r="AB116" s="196" t="s">
        <v>45</v>
      </c>
    </row>
    <row r="117" spans="1:28" ht="57" customHeight="1" x14ac:dyDescent="0.25">
      <c r="A117" s="17" t="s">
        <v>343</v>
      </c>
      <c r="B117" s="195">
        <v>80131502</v>
      </c>
      <c r="C117" s="205" t="s">
        <v>386</v>
      </c>
      <c r="D117" s="205"/>
      <c r="E117" s="20">
        <v>44071</v>
      </c>
      <c r="F117" s="203" t="s">
        <v>150</v>
      </c>
      <c r="G117" s="203" t="s">
        <v>245</v>
      </c>
      <c r="H117" s="204">
        <v>11.5</v>
      </c>
      <c r="I117" s="195" t="s">
        <v>34</v>
      </c>
      <c r="J117" s="205" t="s">
        <v>35</v>
      </c>
      <c r="K117" s="206" t="s">
        <v>382</v>
      </c>
      <c r="L117" s="97" t="s">
        <v>37</v>
      </c>
      <c r="M117" s="26">
        <f t="shared" si="3"/>
        <v>49540063</v>
      </c>
      <c r="N117" s="26">
        <f t="shared" si="4"/>
        <v>49540063</v>
      </c>
      <c r="O117" s="26">
        <v>0</v>
      </c>
      <c r="P117" s="26">
        <v>49540063</v>
      </c>
      <c r="Q117" s="26"/>
      <c r="R117" s="26"/>
      <c r="S117" s="29" t="s">
        <v>38</v>
      </c>
      <c r="T117" s="29" t="s">
        <v>39</v>
      </c>
      <c r="U117" s="26">
        <v>52017066</v>
      </c>
      <c r="V117" s="29"/>
      <c r="W117" s="29" t="s">
        <v>347</v>
      </c>
      <c r="X117" s="29" t="s">
        <v>160</v>
      </c>
      <c r="Y117" s="29" t="s">
        <v>42</v>
      </c>
      <c r="Z117" s="29" t="s">
        <v>43</v>
      </c>
      <c r="AA117" s="30" t="s">
        <v>161</v>
      </c>
      <c r="AB117" s="196" t="s">
        <v>45</v>
      </c>
    </row>
    <row r="118" spans="1:28" ht="71.25" customHeight="1" x14ac:dyDescent="0.25">
      <c r="A118" s="17" t="s">
        <v>343</v>
      </c>
      <c r="B118" s="190">
        <v>80131502</v>
      </c>
      <c r="C118" s="192" t="s">
        <v>387</v>
      </c>
      <c r="D118" s="192"/>
      <c r="E118" s="20">
        <v>44071</v>
      </c>
      <c r="F118" s="203" t="s">
        <v>150</v>
      </c>
      <c r="G118" s="203" t="s">
        <v>245</v>
      </c>
      <c r="H118" s="204">
        <v>11.5</v>
      </c>
      <c r="I118" s="190" t="s">
        <v>34</v>
      </c>
      <c r="J118" s="192" t="s">
        <v>35</v>
      </c>
      <c r="K118" s="194" t="s">
        <v>382</v>
      </c>
      <c r="L118" s="97" t="s">
        <v>37</v>
      </c>
      <c r="M118" s="26">
        <f t="shared" si="3"/>
        <v>55200000</v>
      </c>
      <c r="N118" s="26">
        <f t="shared" si="4"/>
        <v>55200000</v>
      </c>
      <c r="O118" s="26"/>
      <c r="P118" s="26">
        <v>55200000</v>
      </c>
      <c r="Q118" s="26"/>
      <c r="R118" s="26"/>
      <c r="S118" s="29" t="s">
        <v>38</v>
      </c>
      <c r="T118" s="29" t="s">
        <v>39</v>
      </c>
      <c r="U118" s="26" t="s">
        <v>388</v>
      </c>
      <c r="V118" s="29"/>
      <c r="W118" s="29" t="s">
        <v>347</v>
      </c>
      <c r="X118" s="29" t="s">
        <v>160</v>
      </c>
      <c r="Y118" s="29" t="s">
        <v>42</v>
      </c>
      <c r="Z118" s="29" t="s">
        <v>43</v>
      </c>
      <c r="AA118" s="30" t="s">
        <v>161</v>
      </c>
      <c r="AB118" s="196" t="s">
        <v>45</v>
      </c>
    </row>
    <row r="119" spans="1:28" ht="57" customHeight="1" x14ac:dyDescent="0.25">
      <c r="A119" s="17" t="s">
        <v>343</v>
      </c>
      <c r="B119" s="190">
        <v>80131502</v>
      </c>
      <c r="C119" s="192" t="s">
        <v>389</v>
      </c>
      <c r="D119" s="192"/>
      <c r="E119" s="20">
        <v>44071</v>
      </c>
      <c r="F119" s="203" t="s">
        <v>150</v>
      </c>
      <c r="G119" s="203" t="s">
        <v>245</v>
      </c>
      <c r="H119" s="204">
        <v>11.5</v>
      </c>
      <c r="I119" s="190" t="s">
        <v>34</v>
      </c>
      <c r="J119" s="192" t="s">
        <v>35</v>
      </c>
      <c r="K119" s="194" t="s">
        <v>382</v>
      </c>
      <c r="L119" s="97" t="s">
        <v>37</v>
      </c>
      <c r="M119" s="26">
        <f t="shared" si="3"/>
        <v>61889285</v>
      </c>
      <c r="N119" s="26">
        <f t="shared" si="4"/>
        <v>61889285</v>
      </c>
      <c r="O119" s="26">
        <v>0</v>
      </c>
      <c r="P119" s="26">
        <v>61889285</v>
      </c>
      <c r="Q119" s="26"/>
      <c r="R119" s="26"/>
      <c r="S119" s="29" t="s">
        <v>38</v>
      </c>
      <c r="T119" s="29" t="s">
        <v>39</v>
      </c>
      <c r="U119" s="26" t="s">
        <v>388</v>
      </c>
      <c r="V119" s="29"/>
      <c r="W119" s="29" t="s">
        <v>347</v>
      </c>
      <c r="X119" s="29" t="s">
        <v>160</v>
      </c>
      <c r="Y119" s="29" t="s">
        <v>42</v>
      </c>
      <c r="Z119" s="29" t="s">
        <v>43</v>
      </c>
      <c r="AA119" s="30" t="s">
        <v>161</v>
      </c>
      <c r="AB119" s="196" t="s">
        <v>45</v>
      </c>
    </row>
    <row r="120" spans="1:28" ht="57" customHeight="1" x14ac:dyDescent="0.25">
      <c r="A120" s="17" t="s">
        <v>343</v>
      </c>
      <c r="B120" s="190">
        <v>80131502</v>
      </c>
      <c r="C120" s="205" t="s">
        <v>390</v>
      </c>
      <c r="D120" s="205"/>
      <c r="E120" s="20">
        <v>44071</v>
      </c>
      <c r="F120" s="203" t="s">
        <v>150</v>
      </c>
      <c r="G120" s="203" t="s">
        <v>245</v>
      </c>
      <c r="H120" s="204">
        <v>11.5</v>
      </c>
      <c r="I120" s="190" t="s">
        <v>34</v>
      </c>
      <c r="J120" s="192" t="s">
        <v>35</v>
      </c>
      <c r="K120" s="194" t="s">
        <v>382</v>
      </c>
      <c r="L120" s="97" t="s">
        <v>37</v>
      </c>
      <c r="M120" s="26">
        <f t="shared" si="3"/>
        <v>101877600</v>
      </c>
      <c r="N120" s="26">
        <f t="shared" si="4"/>
        <v>101877600</v>
      </c>
      <c r="O120" s="26">
        <v>0</v>
      </c>
      <c r="P120" s="26">
        <v>101877600</v>
      </c>
      <c r="Q120" s="26"/>
      <c r="R120" s="26"/>
      <c r="S120" s="29" t="s">
        <v>38</v>
      </c>
      <c r="T120" s="29" t="s">
        <v>39</v>
      </c>
      <c r="U120" s="26" t="s">
        <v>391</v>
      </c>
      <c r="V120" s="29"/>
      <c r="W120" s="29" t="s">
        <v>347</v>
      </c>
      <c r="X120" s="29" t="s">
        <v>160</v>
      </c>
      <c r="Y120" s="29" t="s">
        <v>42</v>
      </c>
      <c r="Z120" s="29" t="s">
        <v>43</v>
      </c>
      <c r="AA120" s="30" t="s">
        <v>161</v>
      </c>
      <c r="AB120" s="196" t="s">
        <v>45</v>
      </c>
    </row>
    <row r="121" spans="1:28" ht="42.75" customHeight="1" x14ac:dyDescent="0.25">
      <c r="A121" s="32" t="s">
        <v>343</v>
      </c>
      <c r="B121" s="186">
        <v>80131502</v>
      </c>
      <c r="C121" s="207" t="s">
        <v>392</v>
      </c>
      <c r="D121" s="207"/>
      <c r="E121" s="52">
        <v>44071</v>
      </c>
      <c r="F121" s="208" t="s">
        <v>150</v>
      </c>
      <c r="G121" s="208" t="s">
        <v>245</v>
      </c>
      <c r="H121" s="209">
        <v>11</v>
      </c>
      <c r="I121" s="186" t="s">
        <v>34</v>
      </c>
      <c r="J121" s="198" t="s">
        <v>35</v>
      </c>
      <c r="K121" s="200" t="s">
        <v>382</v>
      </c>
      <c r="L121" s="93" t="s">
        <v>37</v>
      </c>
      <c r="M121" s="42">
        <f t="shared" si="3"/>
        <v>38133334</v>
      </c>
      <c r="N121" s="42">
        <f t="shared" si="4"/>
        <v>38133334</v>
      </c>
      <c r="O121" s="42">
        <v>0</v>
      </c>
      <c r="P121" s="42">
        <f>33000000+7000000- 1866666</f>
        <v>38133334</v>
      </c>
      <c r="Q121" s="42"/>
      <c r="R121" s="42"/>
      <c r="S121" s="44" t="s">
        <v>38</v>
      </c>
      <c r="T121" s="44" t="s">
        <v>39</v>
      </c>
      <c r="U121" s="42"/>
      <c r="V121" s="44" t="s">
        <v>93</v>
      </c>
      <c r="W121" s="44" t="s">
        <v>347</v>
      </c>
      <c r="X121" s="44" t="s">
        <v>160</v>
      </c>
      <c r="Y121" s="44" t="s">
        <v>42</v>
      </c>
      <c r="Z121" s="44" t="s">
        <v>43</v>
      </c>
      <c r="AA121" s="45" t="s">
        <v>161</v>
      </c>
      <c r="AB121" s="202" t="s">
        <v>45</v>
      </c>
    </row>
    <row r="122" spans="1:28" ht="57" customHeight="1" x14ac:dyDescent="0.25">
      <c r="A122" s="17" t="s">
        <v>343</v>
      </c>
      <c r="B122" s="190">
        <v>80131502</v>
      </c>
      <c r="C122" s="192" t="s">
        <v>393</v>
      </c>
      <c r="D122" s="192"/>
      <c r="E122" s="20">
        <v>44071</v>
      </c>
      <c r="F122" s="203" t="s">
        <v>150</v>
      </c>
      <c r="G122" s="203" t="s">
        <v>245</v>
      </c>
      <c r="H122" s="204">
        <v>11.5</v>
      </c>
      <c r="I122" s="190" t="s">
        <v>34</v>
      </c>
      <c r="J122" s="192" t="s">
        <v>35</v>
      </c>
      <c r="K122" s="194" t="s">
        <v>382</v>
      </c>
      <c r="L122" s="97" t="s">
        <v>37</v>
      </c>
      <c r="M122" s="26">
        <f t="shared" si="3"/>
        <v>51320044</v>
      </c>
      <c r="N122" s="26">
        <f t="shared" si="4"/>
        <v>51320044</v>
      </c>
      <c r="O122" s="27">
        <v>51320044</v>
      </c>
      <c r="P122" s="26">
        <v>0</v>
      </c>
      <c r="Q122" s="26"/>
      <c r="R122" s="26"/>
      <c r="S122" s="29" t="s">
        <v>38</v>
      </c>
      <c r="T122" s="29" t="s">
        <v>39</v>
      </c>
      <c r="U122" s="26" t="s">
        <v>394</v>
      </c>
      <c r="V122" s="29"/>
      <c r="W122" s="29" t="s">
        <v>347</v>
      </c>
      <c r="X122" s="29" t="s">
        <v>160</v>
      </c>
      <c r="Y122" s="29" t="s">
        <v>42</v>
      </c>
      <c r="Z122" s="29" t="s">
        <v>43</v>
      </c>
      <c r="AA122" s="30" t="s">
        <v>161</v>
      </c>
      <c r="AB122" s="196" t="s">
        <v>45</v>
      </c>
    </row>
    <row r="123" spans="1:28" ht="57" customHeight="1" x14ac:dyDescent="0.25">
      <c r="A123" s="17" t="s">
        <v>343</v>
      </c>
      <c r="B123" s="190">
        <v>80131502</v>
      </c>
      <c r="C123" s="192" t="s">
        <v>395</v>
      </c>
      <c r="D123" s="192"/>
      <c r="E123" s="20">
        <v>44071</v>
      </c>
      <c r="F123" s="203" t="s">
        <v>150</v>
      </c>
      <c r="G123" s="203" t="s">
        <v>245</v>
      </c>
      <c r="H123" s="204">
        <v>11.5</v>
      </c>
      <c r="I123" s="190" t="s">
        <v>34</v>
      </c>
      <c r="J123" s="192" t="s">
        <v>35</v>
      </c>
      <c r="K123" s="194" t="s">
        <v>382</v>
      </c>
      <c r="L123" s="97" t="s">
        <v>37</v>
      </c>
      <c r="M123" s="26">
        <f t="shared" si="3"/>
        <v>83159117</v>
      </c>
      <c r="N123" s="26">
        <f t="shared" si="4"/>
        <v>83159117</v>
      </c>
      <c r="O123" s="26">
        <v>83159117</v>
      </c>
      <c r="P123" s="26">
        <v>0</v>
      </c>
      <c r="Q123" s="26"/>
      <c r="R123" s="26"/>
      <c r="S123" s="29" t="s">
        <v>38</v>
      </c>
      <c r="T123" s="29" t="s">
        <v>39</v>
      </c>
      <c r="U123" s="26" t="s">
        <v>396</v>
      </c>
      <c r="V123" s="29"/>
      <c r="W123" s="29" t="s">
        <v>347</v>
      </c>
      <c r="X123" s="29" t="s">
        <v>160</v>
      </c>
      <c r="Y123" s="29" t="s">
        <v>42</v>
      </c>
      <c r="Z123" s="29" t="s">
        <v>43</v>
      </c>
      <c r="AA123" s="30" t="s">
        <v>161</v>
      </c>
      <c r="AB123" s="196" t="s">
        <v>45</v>
      </c>
    </row>
    <row r="124" spans="1:28" ht="57" customHeight="1" x14ac:dyDescent="0.25">
      <c r="A124" s="17" t="s">
        <v>343</v>
      </c>
      <c r="B124" s="190">
        <v>80131502</v>
      </c>
      <c r="C124" s="192" t="s">
        <v>397</v>
      </c>
      <c r="D124" s="192"/>
      <c r="E124" s="20">
        <v>44071</v>
      </c>
      <c r="F124" s="203" t="s">
        <v>150</v>
      </c>
      <c r="G124" s="203" t="s">
        <v>245</v>
      </c>
      <c r="H124" s="204">
        <v>11.5</v>
      </c>
      <c r="I124" s="190" t="s">
        <v>34</v>
      </c>
      <c r="J124" s="192" t="s">
        <v>35</v>
      </c>
      <c r="K124" s="194" t="s">
        <v>382</v>
      </c>
      <c r="L124" s="97" t="s">
        <v>37</v>
      </c>
      <c r="M124" s="26">
        <f t="shared" si="3"/>
        <v>117250000</v>
      </c>
      <c r="N124" s="26">
        <f t="shared" si="4"/>
        <v>117250000</v>
      </c>
      <c r="O124" s="26">
        <v>117250000</v>
      </c>
      <c r="P124" s="26">
        <v>0</v>
      </c>
      <c r="Q124" s="26"/>
      <c r="R124" s="26"/>
      <c r="S124" s="29" t="s">
        <v>38</v>
      </c>
      <c r="T124" s="29" t="s">
        <v>39</v>
      </c>
      <c r="U124" s="26" t="s">
        <v>398</v>
      </c>
      <c r="V124" s="29"/>
      <c r="W124" s="29" t="s">
        <v>347</v>
      </c>
      <c r="X124" s="29" t="s">
        <v>160</v>
      </c>
      <c r="Y124" s="29" t="s">
        <v>42</v>
      </c>
      <c r="Z124" s="29" t="s">
        <v>43</v>
      </c>
      <c r="AA124" s="30" t="s">
        <v>161</v>
      </c>
      <c r="AB124" s="196" t="s">
        <v>45</v>
      </c>
    </row>
    <row r="125" spans="1:28" ht="57" customHeight="1" x14ac:dyDescent="0.25">
      <c r="A125" s="17" t="s">
        <v>343</v>
      </c>
      <c r="B125" s="190">
        <v>80131502</v>
      </c>
      <c r="C125" s="192" t="s">
        <v>399</v>
      </c>
      <c r="D125" s="192"/>
      <c r="E125" s="20">
        <v>44071</v>
      </c>
      <c r="F125" s="203" t="s">
        <v>150</v>
      </c>
      <c r="G125" s="203" t="s">
        <v>245</v>
      </c>
      <c r="H125" s="204">
        <v>11.5</v>
      </c>
      <c r="I125" s="190" t="s">
        <v>34</v>
      </c>
      <c r="J125" s="192" t="s">
        <v>35</v>
      </c>
      <c r="K125" s="194" t="s">
        <v>382</v>
      </c>
      <c r="L125" s="97" t="s">
        <v>37</v>
      </c>
      <c r="M125" s="26">
        <f t="shared" si="3"/>
        <v>107275625</v>
      </c>
      <c r="N125" s="26">
        <f t="shared" si="4"/>
        <v>107275625</v>
      </c>
      <c r="O125" s="26">
        <v>107275625</v>
      </c>
      <c r="P125" s="26">
        <v>0</v>
      </c>
      <c r="Q125" s="26"/>
      <c r="R125" s="26"/>
      <c r="S125" s="29" t="s">
        <v>38</v>
      </c>
      <c r="T125" s="29" t="s">
        <v>39</v>
      </c>
      <c r="U125" s="26" t="s">
        <v>400</v>
      </c>
      <c r="V125" s="29"/>
      <c r="W125" s="29" t="s">
        <v>347</v>
      </c>
      <c r="X125" s="29" t="s">
        <v>160</v>
      </c>
      <c r="Y125" s="29" t="s">
        <v>42</v>
      </c>
      <c r="Z125" s="29" t="s">
        <v>43</v>
      </c>
      <c r="AA125" s="30" t="s">
        <v>161</v>
      </c>
      <c r="AB125" s="196" t="s">
        <v>45</v>
      </c>
    </row>
    <row r="126" spans="1:28" ht="57" customHeight="1" x14ac:dyDescent="0.25">
      <c r="A126" s="17" t="s">
        <v>343</v>
      </c>
      <c r="B126" s="190">
        <v>80131502</v>
      </c>
      <c r="C126" s="192" t="s">
        <v>401</v>
      </c>
      <c r="D126" s="192"/>
      <c r="E126" s="20">
        <v>44071</v>
      </c>
      <c r="F126" s="203" t="s">
        <v>150</v>
      </c>
      <c r="G126" s="203" t="s">
        <v>245</v>
      </c>
      <c r="H126" s="204">
        <v>11.5</v>
      </c>
      <c r="I126" s="190" t="s">
        <v>34</v>
      </c>
      <c r="J126" s="192" t="s">
        <v>35</v>
      </c>
      <c r="K126" s="194" t="s">
        <v>382</v>
      </c>
      <c r="L126" s="97" t="s">
        <v>37</v>
      </c>
      <c r="M126" s="26">
        <f t="shared" si="3"/>
        <v>117934740</v>
      </c>
      <c r="N126" s="26">
        <f t="shared" si="4"/>
        <v>117934740</v>
      </c>
      <c r="O126" s="27">
        <v>117934740</v>
      </c>
      <c r="P126" s="26">
        <v>0</v>
      </c>
      <c r="Q126" s="26"/>
      <c r="R126" s="26"/>
      <c r="S126" s="29" t="s">
        <v>38</v>
      </c>
      <c r="T126" s="29" t="s">
        <v>39</v>
      </c>
      <c r="U126" s="26" t="s">
        <v>402</v>
      </c>
      <c r="V126" s="29"/>
      <c r="W126" s="29" t="s">
        <v>347</v>
      </c>
      <c r="X126" s="29" t="s">
        <v>160</v>
      </c>
      <c r="Y126" s="29" t="s">
        <v>42</v>
      </c>
      <c r="Z126" s="29" t="s">
        <v>43</v>
      </c>
      <c r="AA126" s="30" t="s">
        <v>161</v>
      </c>
      <c r="AB126" s="196" t="s">
        <v>45</v>
      </c>
    </row>
    <row r="127" spans="1:28" ht="57" customHeight="1" x14ac:dyDescent="0.25">
      <c r="A127" s="17" t="s">
        <v>343</v>
      </c>
      <c r="B127" s="190">
        <v>80131502</v>
      </c>
      <c r="C127" s="192" t="s">
        <v>403</v>
      </c>
      <c r="D127" s="192"/>
      <c r="E127" s="20">
        <v>44071</v>
      </c>
      <c r="F127" s="203" t="s">
        <v>150</v>
      </c>
      <c r="G127" s="203" t="s">
        <v>245</v>
      </c>
      <c r="H127" s="204">
        <v>11.5</v>
      </c>
      <c r="I127" s="190" t="s">
        <v>34</v>
      </c>
      <c r="J127" s="192" t="s">
        <v>35</v>
      </c>
      <c r="K127" s="194" t="s">
        <v>382</v>
      </c>
      <c r="L127" s="97" t="s">
        <v>37</v>
      </c>
      <c r="M127" s="26">
        <f t="shared" si="3"/>
        <v>74321844</v>
      </c>
      <c r="N127" s="26">
        <f t="shared" si="4"/>
        <v>74321844</v>
      </c>
      <c r="O127" s="26">
        <v>74321844</v>
      </c>
      <c r="P127" s="26">
        <v>0</v>
      </c>
      <c r="Q127" s="26"/>
      <c r="R127" s="26"/>
      <c r="S127" s="29" t="s">
        <v>38</v>
      </c>
      <c r="T127" s="29" t="s">
        <v>39</v>
      </c>
      <c r="U127" s="26">
        <v>78037936</v>
      </c>
      <c r="V127" s="29"/>
      <c r="W127" s="29" t="s">
        <v>347</v>
      </c>
      <c r="X127" s="29" t="s">
        <v>160</v>
      </c>
      <c r="Y127" s="29" t="s">
        <v>42</v>
      </c>
      <c r="Z127" s="29" t="s">
        <v>43</v>
      </c>
      <c r="AA127" s="30" t="s">
        <v>161</v>
      </c>
      <c r="AB127" s="196" t="s">
        <v>45</v>
      </c>
    </row>
    <row r="128" spans="1:28" ht="57" customHeight="1" x14ac:dyDescent="0.25">
      <c r="A128" s="17" t="s">
        <v>343</v>
      </c>
      <c r="B128" s="190">
        <v>80131502</v>
      </c>
      <c r="C128" s="192" t="s">
        <v>404</v>
      </c>
      <c r="D128" s="192"/>
      <c r="E128" s="20">
        <v>44071</v>
      </c>
      <c r="F128" s="203" t="s">
        <v>150</v>
      </c>
      <c r="G128" s="203" t="s">
        <v>245</v>
      </c>
      <c r="H128" s="204">
        <v>11.5</v>
      </c>
      <c r="I128" s="190" t="s">
        <v>34</v>
      </c>
      <c r="J128" s="192" t="s">
        <v>35</v>
      </c>
      <c r="K128" s="194" t="s">
        <v>382</v>
      </c>
      <c r="L128" s="97" t="s">
        <v>37</v>
      </c>
      <c r="M128" s="26">
        <f t="shared" si="3"/>
        <v>60871791</v>
      </c>
      <c r="N128" s="26">
        <f t="shared" si="4"/>
        <v>60871791</v>
      </c>
      <c r="O128" s="26">
        <v>60871791</v>
      </c>
      <c r="P128" s="26">
        <v>0</v>
      </c>
      <c r="Q128" s="26"/>
      <c r="R128" s="26"/>
      <c r="S128" s="29" t="s">
        <v>38</v>
      </c>
      <c r="T128" s="29" t="s">
        <v>39</v>
      </c>
      <c r="U128" s="26">
        <v>63915381</v>
      </c>
      <c r="V128" s="29"/>
      <c r="W128" s="29" t="s">
        <v>347</v>
      </c>
      <c r="X128" s="29" t="s">
        <v>160</v>
      </c>
      <c r="Y128" s="29" t="s">
        <v>42</v>
      </c>
      <c r="Z128" s="29" t="s">
        <v>43</v>
      </c>
      <c r="AA128" s="30" t="s">
        <v>161</v>
      </c>
      <c r="AB128" s="196" t="s">
        <v>45</v>
      </c>
    </row>
    <row r="129" spans="1:28" ht="57" customHeight="1" x14ac:dyDescent="0.25">
      <c r="A129" s="17" t="s">
        <v>343</v>
      </c>
      <c r="B129" s="190">
        <v>80131502</v>
      </c>
      <c r="C129" s="192" t="s">
        <v>405</v>
      </c>
      <c r="D129" s="192"/>
      <c r="E129" s="20">
        <v>44071</v>
      </c>
      <c r="F129" s="203" t="s">
        <v>150</v>
      </c>
      <c r="G129" s="203" t="s">
        <v>245</v>
      </c>
      <c r="H129" s="204">
        <v>11.5</v>
      </c>
      <c r="I129" s="190" t="s">
        <v>34</v>
      </c>
      <c r="J129" s="192" t="s">
        <v>35</v>
      </c>
      <c r="K129" s="194" t="s">
        <v>382</v>
      </c>
      <c r="L129" s="97" t="s">
        <v>37</v>
      </c>
      <c r="M129" s="26">
        <f t="shared" si="3"/>
        <v>52188900</v>
      </c>
      <c r="N129" s="26">
        <f t="shared" si="4"/>
        <v>52188900</v>
      </c>
      <c r="O129" s="26">
        <v>52188900</v>
      </c>
      <c r="P129" s="26">
        <v>0</v>
      </c>
      <c r="Q129" s="26"/>
      <c r="R129" s="26"/>
      <c r="S129" s="29" t="s">
        <v>38</v>
      </c>
      <c r="T129" s="29" t="s">
        <v>39</v>
      </c>
      <c r="U129" s="26">
        <v>54798345</v>
      </c>
      <c r="V129" s="29"/>
      <c r="W129" s="29" t="s">
        <v>347</v>
      </c>
      <c r="X129" s="29" t="s">
        <v>160</v>
      </c>
      <c r="Y129" s="29" t="s">
        <v>42</v>
      </c>
      <c r="Z129" s="29" t="s">
        <v>43</v>
      </c>
      <c r="AA129" s="30" t="s">
        <v>161</v>
      </c>
      <c r="AB129" s="196" t="s">
        <v>45</v>
      </c>
    </row>
    <row r="130" spans="1:28" ht="57" customHeight="1" x14ac:dyDescent="0.25">
      <c r="A130" s="17" t="s">
        <v>343</v>
      </c>
      <c r="B130" s="190">
        <v>80131502</v>
      </c>
      <c r="C130" s="192" t="s">
        <v>406</v>
      </c>
      <c r="D130" s="192"/>
      <c r="E130" s="20">
        <v>44071</v>
      </c>
      <c r="F130" s="203" t="s">
        <v>150</v>
      </c>
      <c r="G130" s="203" t="s">
        <v>245</v>
      </c>
      <c r="H130" s="204">
        <v>11.5</v>
      </c>
      <c r="I130" s="190" t="s">
        <v>34</v>
      </c>
      <c r="J130" s="192" t="s">
        <v>35</v>
      </c>
      <c r="K130" s="194" t="s">
        <v>382</v>
      </c>
      <c r="L130" s="97" t="s">
        <v>37</v>
      </c>
      <c r="M130" s="26">
        <f t="shared" si="3"/>
        <v>77660721</v>
      </c>
      <c r="N130" s="26">
        <f t="shared" si="4"/>
        <v>77660721</v>
      </c>
      <c r="O130" s="26">
        <v>77660721</v>
      </c>
      <c r="P130" s="26">
        <v>0</v>
      </c>
      <c r="Q130" s="26"/>
      <c r="R130" s="26"/>
      <c r="S130" s="29" t="s">
        <v>38</v>
      </c>
      <c r="T130" s="29" t="s">
        <v>39</v>
      </c>
      <c r="U130" s="26">
        <v>81543757</v>
      </c>
      <c r="V130" s="29"/>
      <c r="W130" s="29" t="s">
        <v>347</v>
      </c>
      <c r="X130" s="29" t="s">
        <v>160</v>
      </c>
      <c r="Y130" s="29" t="s">
        <v>42</v>
      </c>
      <c r="Z130" s="29" t="s">
        <v>43</v>
      </c>
      <c r="AA130" s="30" t="s">
        <v>161</v>
      </c>
      <c r="AB130" s="196" t="s">
        <v>45</v>
      </c>
    </row>
    <row r="131" spans="1:28" ht="42.75" customHeight="1" x14ac:dyDescent="0.25">
      <c r="A131" s="17" t="s">
        <v>343</v>
      </c>
      <c r="B131" s="190">
        <v>80131502</v>
      </c>
      <c r="C131" s="192" t="s">
        <v>407</v>
      </c>
      <c r="D131" s="192"/>
      <c r="E131" s="20">
        <v>44071</v>
      </c>
      <c r="F131" s="203" t="s">
        <v>150</v>
      </c>
      <c r="G131" s="203" t="s">
        <v>245</v>
      </c>
      <c r="H131" s="204">
        <v>11.5</v>
      </c>
      <c r="I131" s="190" t="s">
        <v>34</v>
      </c>
      <c r="J131" s="192" t="s">
        <v>35</v>
      </c>
      <c r="K131" s="194" t="s">
        <v>382</v>
      </c>
      <c r="L131" s="97" t="s">
        <v>37</v>
      </c>
      <c r="M131" s="26">
        <f t="shared" si="3"/>
        <v>46729818</v>
      </c>
      <c r="N131" s="26">
        <f t="shared" si="4"/>
        <v>46729818</v>
      </c>
      <c r="O131" s="27">
        <v>46729818</v>
      </c>
      <c r="P131" s="26">
        <v>0</v>
      </c>
      <c r="Q131" s="26"/>
      <c r="R131" s="26"/>
      <c r="S131" s="29" t="s">
        <v>38</v>
      </c>
      <c r="T131" s="29" t="s">
        <v>39</v>
      </c>
      <c r="U131" s="26">
        <v>49066309</v>
      </c>
      <c r="V131" s="29"/>
      <c r="W131" s="29" t="s">
        <v>347</v>
      </c>
      <c r="X131" s="29" t="s">
        <v>160</v>
      </c>
      <c r="Y131" s="29" t="s">
        <v>42</v>
      </c>
      <c r="Z131" s="29" t="s">
        <v>43</v>
      </c>
      <c r="AA131" s="30" t="s">
        <v>161</v>
      </c>
      <c r="AB131" s="196" t="s">
        <v>45</v>
      </c>
    </row>
    <row r="132" spans="1:28" ht="42.75" customHeight="1" x14ac:dyDescent="0.25">
      <c r="A132" s="17" t="s">
        <v>343</v>
      </c>
      <c r="B132" s="190">
        <v>80131502</v>
      </c>
      <c r="C132" s="192" t="s">
        <v>408</v>
      </c>
      <c r="D132" s="192"/>
      <c r="E132" s="20">
        <v>44071</v>
      </c>
      <c r="F132" s="203" t="s">
        <v>150</v>
      </c>
      <c r="G132" s="203" t="s">
        <v>245</v>
      </c>
      <c r="H132" s="204">
        <v>11.5</v>
      </c>
      <c r="I132" s="190" t="s">
        <v>34</v>
      </c>
      <c r="J132" s="192" t="s">
        <v>35</v>
      </c>
      <c r="K132" s="194" t="s">
        <v>382</v>
      </c>
      <c r="L132" s="97" t="s">
        <v>37</v>
      </c>
      <c r="M132" s="26">
        <f t="shared" si="3"/>
        <v>75352335</v>
      </c>
      <c r="N132" s="26">
        <f t="shared" si="4"/>
        <v>75352335</v>
      </c>
      <c r="O132" s="27">
        <v>75352335</v>
      </c>
      <c r="P132" s="26">
        <v>0</v>
      </c>
      <c r="Q132" s="26"/>
      <c r="R132" s="26"/>
      <c r="S132" s="29" t="s">
        <v>38</v>
      </c>
      <c r="T132" s="29" t="s">
        <v>39</v>
      </c>
      <c r="U132" s="26">
        <v>79119951</v>
      </c>
      <c r="V132" s="29"/>
      <c r="W132" s="29" t="s">
        <v>347</v>
      </c>
      <c r="X132" s="29" t="s">
        <v>160</v>
      </c>
      <c r="Y132" s="29" t="s">
        <v>42</v>
      </c>
      <c r="Z132" s="29" t="s">
        <v>43</v>
      </c>
      <c r="AA132" s="30" t="s">
        <v>161</v>
      </c>
      <c r="AB132" s="196" t="s">
        <v>45</v>
      </c>
    </row>
    <row r="133" spans="1:28" ht="57" customHeight="1" x14ac:dyDescent="0.25">
      <c r="A133" s="17" t="s">
        <v>343</v>
      </c>
      <c r="B133" s="190">
        <v>80131502</v>
      </c>
      <c r="C133" s="192" t="s">
        <v>409</v>
      </c>
      <c r="D133" s="192"/>
      <c r="E133" s="20">
        <v>44071</v>
      </c>
      <c r="F133" s="203" t="s">
        <v>150</v>
      </c>
      <c r="G133" s="203" t="s">
        <v>245</v>
      </c>
      <c r="H133" s="204">
        <v>11.5</v>
      </c>
      <c r="I133" s="190" t="s">
        <v>34</v>
      </c>
      <c r="J133" s="192" t="s">
        <v>35</v>
      </c>
      <c r="K133" s="194" t="s">
        <v>382</v>
      </c>
      <c r="L133" s="97" t="s">
        <v>37</v>
      </c>
      <c r="M133" s="26">
        <f t="shared" si="3"/>
        <v>55320000</v>
      </c>
      <c r="N133" s="26">
        <f t="shared" si="4"/>
        <v>55320000</v>
      </c>
      <c r="O133" s="26">
        <v>55320000</v>
      </c>
      <c r="P133" s="26"/>
      <c r="Q133" s="26"/>
      <c r="R133" s="26"/>
      <c r="S133" s="29" t="s">
        <v>38</v>
      </c>
      <c r="T133" s="29" t="s">
        <v>39</v>
      </c>
      <c r="U133" s="26">
        <v>58086000</v>
      </c>
      <c r="V133" s="29"/>
      <c r="W133" s="29" t="s">
        <v>347</v>
      </c>
      <c r="X133" s="29" t="s">
        <v>160</v>
      </c>
      <c r="Y133" s="29" t="s">
        <v>42</v>
      </c>
      <c r="Z133" s="29" t="s">
        <v>43</v>
      </c>
      <c r="AA133" s="30" t="s">
        <v>161</v>
      </c>
      <c r="AB133" s="196" t="s">
        <v>45</v>
      </c>
    </row>
    <row r="134" spans="1:28" ht="57" customHeight="1" x14ac:dyDescent="0.25">
      <c r="A134" s="17" t="s">
        <v>343</v>
      </c>
      <c r="B134" s="190">
        <v>80131502</v>
      </c>
      <c r="C134" s="192" t="s">
        <v>410</v>
      </c>
      <c r="D134" s="192"/>
      <c r="E134" s="20"/>
      <c r="F134" s="203"/>
      <c r="G134" s="203"/>
      <c r="H134" s="204">
        <v>11.5</v>
      </c>
      <c r="I134" s="190" t="s">
        <v>34</v>
      </c>
      <c r="J134" s="192" t="s">
        <v>35</v>
      </c>
      <c r="K134" s="194" t="s">
        <v>382</v>
      </c>
      <c r="L134" s="97" t="s">
        <v>37</v>
      </c>
      <c r="M134" s="26">
        <f t="shared" ref="M134:M175" si="5">+N134+Q134+R134</f>
        <v>72390332</v>
      </c>
      <c r="N134" s="26">
        <f t="shared" si="4"/>
        <v>72390332</v>
      </c>
      <c r="O134" s="26">
        <v>72390332</v>
      </c>
      <c r="P134" s="26">
        <v>0</v>
      </c>
      <c r="Q134" s="26"/>
      <c r="R134" s="26"/>
      <c r="S134" s="29" t="s">
        <v>38</v>
      </c>
      <c r="T134" s="29" t="s">
        <v>39</v>
      </c>
      <c r="U134" s="26">
        <v>76009849</v>
      </c>
      <c r="V134" s="29"/>
      <c r="W134" s="29" t="s">
        <v>347</v>
      </c>
      <c r="X134" s="29" t="s">
        <v>160</v>
      </c>
      <c r="Y134" s="29" t="s">
        <v>42</v>
      </c>
      <c r="Z134" s="29" t="s">
        <v>43</v>
      </c>
      <c r="AA134" s="30" t="s">
        <v>161</v>
      </c>
      <c r="AB134" s="196" t="s">
        <v>45</v>
      </c>
    </row>
    <row r="135" spans="1:28" ht="57" customHeight="1" x14ac:dyDescent="0.25">
      <c r="A135" s="17" t="s">
        <v>343</v>
      </c>
      <c r="B135" s="190">
        <v>80131502</v>
      </c>
      <c r="C135" s="192" t="s">
        <v>411</v>
      </c>
      <c r="D135" s="192"/>
      <c r="E135" s="20"/>
      <c r="F135" s="203"/>
      <c r="G135" s="203"/>
      <c r="H135" s="204">
        <v>11.5</v>
      </c>
      <c r="I135" s="190" t="s">
        <v>34</v>
      </c>
      <c r="J135" s="192" t="s">
        <v>35</v>
      </c>
      <c r="K135" s="194" t="s">
        <v>382</v>
      </c>
      <c r="L135" s="97" t="s">
        <v>37</v>
      </c>
      <c r="M135" s="26">
        <f t="shared" si="5"/>
        <v>48001625</v>
      </c>
      <c r="N135" s="26">
        <f t="shared" si="4"/>
        <v>48001625</v>
      </c>
      <c r="O135" s="26">
        <v>48001625</v>
      </c>
      <c r="P135" s="26">
        <v>0</v>
      </c>
      <c r="Q135" s="26"/>
      <c r="R135" s="26"/>
      <c r="S135" s="29" t="s">
        <v>38</v>
      </c>
      <c r="T135" s="29" t="s">
        <v>39</v>
      </c>
      <c r="U135" s="26">
        <v>50401706</v>
      </c>
      <c r="V135" s="29"/>
      <c r="W135" s="29" t="s">
        <v>347</v>
      </c>
      <c r="X135" s="29" t="s">
        <v>160</v>
      </c>
      <c r="Y135" s="29" t="s">
        <v>42</v>
      </c>
      <c r="Z135" s="29" t="s">
        <v>43</v>
      </c>
      <c r="AA135" s="30" t="s">
        <v>161</v>
      </c>
      <c r="AB135" s="196" t="s">
        <v>45</v>
      </c>
    </row>
    <row r="136" spans="1:28" ht="57" customHeight="1" x14ac:dyDescent="0.25">
      <c r="A136" s="17" t="s">
        <v>343</v>
      </c>
      <c r="B136" s="190">
        <v>80131502</v>
      </c>
      <c r="C136" s="192" t="s">
        <v>412</v>
      </c>
      <c r="D136" s="192"/>
      <c r="E136" s="20"/>
      <c r="F136" s="203"/>
      <c r="G136" s="203"/>
      <c r="H136" s="204">
        <v>11.5</v>
      </c>
      <c r="I136" s="190" t="s">
        <v>34</v>
      </c>
      <c r="J136" s="192" t="s">
        <v>35</v>
      </c>
      <c r="K136" s="194" t="s">
        <v>382</v>
      </c>
      <c r="L136" s="97" t="s">
        <v>37</v>
      </c>
      <c r="M136" s="26">
        <f t="shared" si="5"/>
        <v>93867658</v>
      </c>
      <c r="N136" s="26">
        <f t="shared" si="4"/>
        <v>93867658</v>
      </c>
      <c r="O136" s="26">
        <v>93867658</v>
      </c>
      <c r="P136" s="26">
        <v>0</v>
      </c>
      <c r="Q136" s="26"/>
      <c r="R136" s="26"/>
      <c r="S136" s="29" t="s">
        <v>38</v>
      </c>
      <c r="T136" s="29" t="s">
        <v>39</v>
      </c>
      <c r="U136" s="26">
        <v>98561040</v>
      </c>
      <c r="V136" s="29"/>
      <c r="W136" s="29" t="s">
        <v>347</v>
      </c>
      <c r="X136" s="29" t="s">
        <v>160</v>
      </c>
      <c r="Y136" s="29" t="s">
        <v>42</v>
      </c>
      <c r="Z136" s="29" t="s">
        <v>43</v>
      </c>
      <c r="AA136" s="30" t="s">
        <v>161</v>
      </c>
      <c r="AB136" s="196" t="s">
        <v>45</v>
      </c>
    </row>
    <row r="137" spans="1:28" ht="57" customHeight="1" x14ac:dyDescent="0.25">
      <c r="A137" s="17" t="s">
        <v>343</v>
      </c>
      <c r="B137" s="190">
        <v>80131502</v>
      </c>
      <c r="C137" s="192" t="s">
        <v>413</v>
      </c>
      <c r="D137" s="192"/>
      <c r="E137" s="20"/>
      <c r="F137" s="203"/>
      <c r="G137" s="203"/>
      <c r="H137" s="204">
        <v>11.5</v>
      </c>
      <c r="I137" s="190" t="s">
        <v>34</v>
      </c>
      <c r="J137" s="192" t="s">
        <v>35</v>
      </c>
      <c r="K137" s="194" t="s">
        <v>382</v>
      </c>
      <c r="L137" s="97" t="s">
        <v>37</v>
      </c>
      <c r="M137" s="26">
        <f t="shared" si="5"/>
        <v>93743005</v>
      </c>
      <c r="N137" s="26">
        <f t="shared" si="4"/>
        <v>93743005</v>
      </c>
      <c r="O137" s="26">
        <v>93743005</v>
      </c>
      <c r="P137" s="26">
        <v>0</v>
      </c>
      <c r="Q137" s="26"/>
      <c r="R137" s="26"/>
      <c r="S137" s="29" t="s">
        <v>38</v>
      </c>
      <c r="T137" s="29" t="s">
        <v>39</v>
      </c>
      <c r="U137" s="26">
        <v>98430155</v>
      </c>
      <c r="V137" s="29"/>
      <c r="W137" s="29" t="s">
        <v>347</v>
      </c>
      <c r="X137" s="29" t="s">
        <v>160</v>
      </c>
      <c r="Y137" s="29" t="s">
        <v>42</v>
      </c>
      <c r="Z137" s="29" t="s">
        <v>43</v>
      </c>
      <c r="AA137" s="30" t="s">
        <v>161</v>
      </c>
      <c r="AB137" s="196" t="s">
        <v>45</v>
      </c>
    </row>
    <row r="138" spans="1:28" ht="57" customHeight="1" x14ac:dyDescent="0.25">
      <c r="A138" s="17" t="s">
        <v>343</v>
      </c>
      <c r="B138" s="190">
        <v>80131502</v>
      </c>
      <c r="C138" s="192" t="s">
        <v>414</v>
      </c>
      <c r="D138" s="192"/>
      <c r="E138" s="20"/>
      <c r="F138" s="203"/>
      <c r="G138" s="203"/>
      <c r="H138" s="204">
        <v>11.5</v>
      </c>
      <c r="I138" s="190" t="s">
        <v>34</v>
      </c>
      <c r="J138" s="192" t="s">
        <v>35</v>
      </c>
      <c r="K138" s="194" t="s">
        <v>382</v>
      </c>
      <c r="L138" s="97" t="s">
        <v>37</v>
      </c>
      <c r="M138" s="26">
        <f t="shared" si="5"/>
        <v>92200000</v>
      </c>
      <c r="N138" s="26">
        <f t="shared" si="4"/>
        <v>92200000</v>
      </c>
      <c r="O138" s="26">
        <v>92200000</v>
      </c>
      <c r="P138" s="26">
        <v>0</v>
      </c>
      <c r="Q138" s="26"/>
      <c r="R138" s="26"/>
      <c r="S138" s="29" t="s">
        <v>38</v>
      </c>
      <c r="T138" s="29" t="s">
        <v>39</v>
      </c>
      <c r="U138" s="26">
        <v>96810000</v>
      </c>
      <c r="V138" s="29"/>
      <c r="W138" s="29" t="s">
        <v>347</v>
      </c>
      <c r="X138" s="29" t="s">
        <v>160</v>
      </c>
      <c r="Y138" s="29" t="s">
        <v>42</v>
      </c>
      <c r="Z138" s="29" t="s">
        <v>43</v>
      </c>
      <c r="AA138" s="30" t="s">
        <v>161</v>
      </c>
      <c r="AB138" s="196" t="s">
        <v>45</v>
      </c>
    </row>
    <row r="139" spans="1:28" ht="42.75" customHeight="1" x14ac:dyDescent="0.25">
      <c r="A139" s="17" t="s">
        <v>343</v>
      </c>
      <c r="B139" s="190">
        <v>80131502</v>
      </c>
      <c r="C139" s="192" t="s">
        <v>415</v>
      </c>
      <c r="D139" s="192"/>
      <c r="E139" s="20"/>
      <c r="F139" s="203"/>
      <c r="G139" s="203"/>
      <c r="H139" s="204">
        <v>11.5</v>
      </c>
      <c r="I139" s="190" t="s">
        <v>34</v>
      </c>
      <c r="J139" s="192" t="s">
        <v>35</v>
      </c>
      <c r="K139" s="194" t="s">
        <v>382</v>
      </c>
      <c r="L139" s="97" t="s">
        <v>37</v>
      </c>
      <c r="M139" s="26">
        <f t="shared" si="5"/>
        <v>104719354</v>
      </c>
      <c r="N139" s="26">
        <f t="shared" si="4"/>
        <v>104719354</v>
      </c>
      <c r="O139" s="26">
        <v>104719354</v>
      </c>
      <c r="P139" s="26">
        <v>0</v>
      </c>
      <c r="Q139" s="26"/>
      <c r="R139" s="26"/>
      <c r="S139" s="29" t="s">
        <v>38</v>
      </c>
      <c r="T139" s="29" t="s">
        <v>39</v>
      </c>
      <c r="U139" s="26">
        <v>109955322</v>
      </c>
      <c r="V139" s="29"/>
      <c r="W139" s="29" t="s">
        <v>347</v>
      </c>
      <c r="X139" s="29" t="s">
        <v>160</v>
      </c>
      <c r="Y139" s="29" t="s">
        <v>42</v>
      </c>
      <c r="Z139" s="29" t="s">
        <v>43</v>
      </c>
      <c r="AA139" s="30" t="s">
        <v>161</v>
      </c>
      <c r="AB139" s="196" t="s">
        <v>45</v>
      </c>
    </row>
    <row r="140" spans="1:28" ht="57" customHeight="1" x14ac:dyDescent="0.25">
      <c r="A140" s="17" t="s">
        <v>343</v>
      </c>
      <c r="B140" s="190">
        <v>80131502</v>
      </c>
      <c r="C140" s="192" t="s">
        <v>416</v>
      </c>
      <c r="D140" s="192"/>
      <c r="E140" s="20"/>
      <c r="F140" s="203"/>
      <c r="G140" s="203"/>
      <c r="H140" s="204">
        <v>11.5</v>
      </c>
      <c r="I140" s="190" t="s">
        <v>34</v>
      </c>
      <c r="J140" s="192" t="s">
        <v>35</v>
      </c>
      <c r="K140" s="194" t="s">
        <v>382</v>
      </c>
      <c r="L140" s="97" t="s">
        <v>37</v>
      </c>
      <c r="M140" s="26">
        <f t="shared" si="5"/>
        <v>219981925</v>
      </c>
      <c r="N140" s="26">
        <f t="shared" si="4"/>
        <v>219981925</v>
      </c>
      <c r="O140" s="26">
        <v>219981925</v>
      </c>
      <c r="P140" s="26"/>
      <c r="Q140" s="26"/>
      <c r="R140" s="26"/>
      <c r="S140" s="29" t="s">
        <v>38</v>
      </c>
      <c r="T140" s="29" t="s">
        <v>39</v>
      </c>
      <c r="U140" s="26">
        <v>238844332</v>
      </c>
      <c r="V140" s="29"/>
      <c r="W140" s="29" t="s">
        <v>347</v>
      </c>
      <c r="X140" s="29" t="s">
        <v>160</v>
      </c>
      <c r="Y140" s="29" t="s">
        <v>42</v>
      </c>
      <c r="Z140" s="29" t="s">
        <v>43</v>
      </c>
      <c r="AA140" s="30" t="s">
        <v>161</v>
      </c>
      <c r="AB140" s="196" t="s">
        <v>45</v>
      </c>
    </row>
    <row r="141" spans="1:28" ht="57" customHeight="1" x14ac:dyDescent="0.25">
      <c r="A141" s="17" t="s">
        <v>343</v>
      </c>
      <c r="B141" s="190">
        <v>80131502</v>
      </c>
      <c r="C141" s="192" t="s">
        <v>417</v>
      </c>
      <c r="D141" s="192"/>
      <c r="E141" s="20"/>
      <c r="F141" s="203"/>
      <c r="G141" s="203"/>
      <c r="H141" s="204">
        <v>11.5</v>
      </c>
      <c r="I141" s="190" t="s">
        <v>34</v>
      </c>
      <c r="J141" s="192" t="s">
        <v>35</v>
      </c>
      <c r="K141" s="194" t="s">
        <v>382</v>
      </c>
      <c r="L141" s="97" t="s">
        <v>37</v>
      </c>
      <c r="M141" s="26">
        <f t="shared" si="5"/>
        <v>77182130</v>
      </c>
      <c r="N141" s="26">
        <f t="shared" si="4"/>
        <v>77182130</v>
      </c>
      <c r="O141" s="26">
        <v>77182130</v>
      </c>
      <c r="P141" s="26">
        <v>0</v>
      </c>
      <c r="Q141" s="26"/>
      <c r="R141" s="26"/>
      <c r="S141" s="29" t="s">
        <v>38</v>
      </c>
      <c r="T141" s="29" t="s">
        <v>39</v>
      </c>
      <c r="U141" s="26">
        <v>81041236</v>
      </c>
      <c r="V141" s="29"/>
      <c r="W141" s="29" t="s">
        <v>347</v>
      </c>
      <c r="X141" s="29" t="s">
        <v>160</v>
      </c>
      <c r="Y141" s="29" t="s">
        <v>42</v>
      </c>
      <c r="Z141" s="29" t="s">
        <v>43</v>
      </c>
      <c r="AA141" s="30" t="s">
        <v>161</v>
      </c>
      <c r="AB141" s="196" t="s">
        <v>45</v>
      </c>
    </row>
    <row r="142" spans="1:28" ht="57" customHeight="1" x14ac:dyDescent="0.25">
      <c r="A142" s="17" t="s">
        <v>343</v>
      </c>
      <c r="B142" s="190">
        <v>80131502</v>
      </c>
      <c r="C142" s="192" t="s">
        <v>418</v>
      </c>
      <c r="D142" s="192"/>
      <c r="E142" s="20"/>
      <c r="F142" s="203"/>
      <c r="G142" s="203"/>
      <c r="H142" s="204">
        <v>11.5</v>
      </c>
      <c r="I142" s="190" t="s">
        <v>34</v>
      </c>
      <c r="J142" s="192" t="s">
        <v>35</v>
      </c>
      <c r="K142" s="194" t="s">
        <v>382</v>
      </c>
      <c r="L142" s="97" t="s">
        <v>37</v>
      </c>
      <c r="M142" s="26">
        <f t="shared" si="5"/>
        <v>124382619</v>
      </c>
      <c r="N142" s="26">
        <f t="shared" si="4"/>
        <v>124382619</v>
      </c>
      <c r="O142" s="26">
        <v>124382619</v>
      </c>
      <c r="P142" s="26">
        <v>0</v>
      </c>
      <c r="Q142" s="26"/>
      <c r="R142" s="26"/>
      <c r="S142" s="29" t="s">
        <v>38</v>
      </c>
      <c r="T142" s="29" t="s">
        <v>39</v>
      </c>
      <c r="U142" s="26">
        <v>130601750</v>
      </c>
      <c r="V142" s="29"/>
      <c r="W142" s="29" t="s">
        <v>347</v>
      </c>
      <c r="X142" s="29" t="s">
        <v>160</v>
      </c>
      <c r="Y142" s="29" t="s">
        <v>42</v>
      </c>
      <c r="Z142" s="29" t="s">
        <v>43</v>
      </c>
      <c r="AA142" s="30" t="s">
        <v>161</v>
      </c>
      <c r="AB142" s="196" t="s">
        <v>45</v>
      </c>
    </row>
    <row r="143" spans="1:28" ht="42.75" customHeight="1" x14ac:dyDescent="0.25">
      <c r="A143" s="17" t="s">
        <v>343</v>
      </c>
      <c r="B143" s="190">
        <v>80131502</v>
      </c>
      <c r="C143" s="192" t="s">
        <v>419</v>
      </c>
      <c r="D143" s="192"/>
      <c r="E143" s="20"/>
      <c r="F143" s="203"/>
      <c r="G143" s="203"/>
      <c r="H143" s="204">
        <v>11.5</v>
      </c>
      <c r="I143" s="190" t="s">
        <v>34</v>
      </c>
      <c r="J143" s="192" t="s">
        <v>35</v>
      </c>
      <c r="K143" s="194" t="s">
        <v>382</v>
      </c>
      <c r="L143" s="97" t="s">
        <v>37</v>
      </c>
      <c r="M143" s="26">
        <f t="shared" si="5"/>
        <v>50387578</v>
      </c>
      <c r="N143" s="26">
        <f t="shared" si="4"/>
        <v>50387578</v>
      </c>
      <c r="O143" s="26">
        <v>50387578</v>
      </c>
      <c r="P143" s="26">
        <v>0</v>
      </c>
      <c r="Q143" s="26"/>
      <c r="R143" s="26"/>
      <c r="S143" s="29" t="s">
        <v>38</v>
      </c>
      <c r="T143" s="29" t="s">
        <v>39</v>
      </c>
      <c r="U143" s="26">
        <v>52906957</v>
      </c>
      <c r="V143" s="29"/>
      <c r="W143" s="29" t="s">
        <v>347</v>
      </c>
      <c r="X143" s="29" t="s">
        <v>160</v>
      </c>
      <c r="Y143" s="29" t="s">
        <v>42</v>
      </c>
      <c r="Z143" s="29" t="s">
        <v>43</v>
      </c>
      <c r="AA143" s="30" t="s">
        <v>161</v>
      </c>
      <c r="AB143" s="196" t="s">
        <v>45</v>
      </c>
    </row>
    <row r="144" spans="1:28" ht="57" customHeight="1" x14ac:dyDescent="0.25">
      <c r="A144" s="17" t="s">
        <v>343</v>
      </c>
      <c r="B144" s="190">
        <v>80131502</v>
      </c>
      <c r="C144" s="192" t="s">
        <v>420</v>
      </c>
      <c r="D144" s="192"/>
      <c r="E144" s="20"/>
      <c r="F144" s="203"/>
      <c r="G144" s="203"/>
      <c r="H144" s="204">
        <v>11.5</v>
      </c>
      <c r="I144" s="190" t="s">
        <v>34</v>
      </c>
      <c r="J144" s="192" t="s">
        <v>35</v>
      </c>
      <c r="K144" s="194" t="s">
        <v>382</v>
      </c>
      <c r="L144" s="97" t="s">
        <v>37</v>
      </c>
      <c r="M144" s="26">
        <f t="shared" si="5"/>
        <v>116256294</v>
      </c>
      <c r="N144" s="26">
        <f t="shared" si="4"/>
        <v>116256294</v>
      </c>
      <c r="O144" s="26">
        <v>116256294</v>
      </c>
      <c r="P144" s="26">
        <v>0</v>
      </c>
      <c r="Q144" s="26"/>
      <c r="R144" s="26"/>
      <c r="S144" s="29" t="s">
        <v>38</v>
      </c>
      <c r="T144" s="29" t="s">
        <v>39</v>
      </c>
      <c r="U144" s="26">
        <v>122069109</v>
      </c>
      <c r="V144" s="29"/>
      <c r="W144" s="29" t="s">
        <v>347</v>
      </c>
      <c r="X144" s="29" t="s">
        <v>160</v>
      </c>
      <c r="Y144" s="29" t="s">
        <v>42</v>
      </c>
      <c r="Z144" s="29" t="s">
        <v>43</v>
      </c>
      <c r="AA144" s="30" t="s">
        <v>161</v>
      </c>
      <c r="AB144" s="196" t="s">
        <v>45</v>
      </c>
    </row>
    <row r="145" spans="1:28" ht="57" customHeight="1" x14ac:dyDescent="0.25">
      <c r="A145" s="17" t="s">
        <v>343</v>
      </c>
      <c r="B145" s="190">
        <v>80131502</v>
      </c>
      <c r="C145" s="192" t="s">
        <v>421</v>
      </c>
      <c r="D145" s="192"/>
      <c r="E145" s="20"/>
      <c r="F145" s="203"/>
      <c r="G145" s="203"/>
      <c r="H145" s="204">
        <v>11.5</v>
      </c>
      <c r="I145" s="190" t="s">
        <v>34</v>
      </c>
      <c r="J145" s="192" t="s">
        <v>35</v>
      </c>
      <c r="K145" s="194" t="s">
        <v>382</v>
      </c>
      <c r="L145" s="97" t="s">
        <v>37</v>
      </c>
      <c r="M145" s="26">
        <f t="shared" si="5"/>
        <v>91852706</v>
      </c>
      <c r="N145" s="26">
        <f t="shared" si="4"/>
        <v>91852706</v>
      </c>
      <c r="O145" s="26">
        <v>91852706</v>
      </c>
      <c r="P145" s="26">
        <v>0</v>
      </c>
      <c r="Q145" s="26"/>
      <c r="R145" s="26"/>
      <c r="S145" s="29" t="s">
        <v>38</v>
      </c>
      <c r="T145" s="29" t="s">
        <v>39</v>
      </c>
      <c r="U145" s="26">
        <v>96445341</v>
      </c>
      <c r="V145" s="29"/>
      <c r="W145" s="29" t="s">
        <v>347</v>
      </c>
      <c r="X145" s="29" t="s">
        <v>160</v>
      </c>
      <c r="Y145" s="29" t="s">
        <v>42</v>
      </c>
      <c r="Z145" s="29" t="s">
        <v>43</v>
      </c>
      <c r="AA145" s="30" t="s">
        <v>161</v>
      </c>
      <c r="AB145" s="196" t="s">
        <v>45</v>
      </c>
    </row>
    <row r="146" spans="1:28" ht="57" customHeight="1" x14ac:dyDescent="0.25">
      <c r="A146" s="17" t="s">
        <v>343</v>
      </c>
      <c r="B146" s="190">
        <v>80131502</v>
      </c>
      <c r="C146" s="192" t="s">
        <v>422</v>
      </c>
      <c r="D146" s="192"/>
      <c r="E146" s="20"/>
      <c r="F146" s="203"/>
      <c r="G146" s="203"/>
      <c r="H146" s="204">
        <v>11.5</v>
      </c>
      <c r="I146" s="190" t="s">
        <v>34</v>
      </c>
      <c r="J146" s="192" t="s">
        <v>35</v>
      </c>
      <c r="K146" s="194" t="s">
        <v>382</v>
      </c>
      <c r="L146" s="97" t="s">
        <v>37</v>
      </c>
      <c r="M146" s="26">
        <f t="shared" si="5"/>
        <v>78324717</v>
      </c>
      <c r="N146" s="26">
        <f t="shared" si="4"/>
        <v>78324717</v>
      </c>
      <c r="O146" s="26">
        <v>78324717</v>
      </c>
      <c r="P146" s="26">
        <v>0</v>
      </c>
      <c r="Q146" s="26"/>
      <c r="R146" s="26"/>
      <c r="S146" s="29" t="s">
        <v>38</v>
      </c>
      <c r="T146" s="29" t="s">
        <v>39</v>
      </c>
      <c r="U146" s="26">
        <v>82240953</v>
      </c>
      <c r="V146" s="29"/>
      <c r="W146" s="29" t="s">
        <v>347</v>
      </c>
      <c r="X146" s="29" t="s">
        <v>160</v>
      </c>
      <c r="Y146" s="29" t="s">
        <v>42</v>
      </c>
      <c r="Z146" s="29" t="s">
        <v>43</v>
      </c>
      <c r="AA146" s="30" t="s">
        <v>161</v>
      </c>
      <c r="AB146" s="196" t="s">
        <v>45</v>
      </c>
    </row>
    <row r="147" spans="1:28" ht="57" customHeight="1" x14ac:dyDescent="0.25">
      <c r="A147" s="17" t="s">
        <v>343</v>
      </c>
      <c r="B147" s="190">
        <v>80131502</v>
      </c>
      <c r="C147" s="192" t="s">
        <v>423</v>
      </c>
      <c r="D147" s="192"/>
      <c r="E147" s="20"/>
      <c r="F147" s="203"/>
      <c r="G147" s="203"/>
      <c r="H147" s="204">
        <v>11.5</v>
      </c>
      <c r="I147" s="190" t="s">
        <v>34</v>
      </c>
      <c r="J147" s="192" t="s">
        <v>35</v>
      </c>
      <c r="K147" s="194" t="s">
        <v>382</v>
      </c>
      <c r="L147" s="97" t="s">
        <v>37</v>
      </c>
      <c r="M147" s="26">
        <f t="shared" si="5"/>
        <v>133943158</v>
      </c>
      <c r="N147" s="26">
        <f t="shared" si="4"/>
        <v>133943158</v>
      </c>
      <c r="O147" s="26">
        <v>133943158</v>
      </c>
      <c r="P147" s="26">
        <v>0</v>
      </c>
      <c r="Q147" s="26"/>
      <c r="R147" s="26"/>
      <c r="S147" s="29" t="s">
        <v>38</v>
      </c>
      <c r="T147" s="29" t="s">
        <v>39</v>
      </c>
      <c r="U147" s="26">
        <v>140640316</v>
      </c>
      <c r="V147" s="29"/>
      <c r="W147" s="29" t="s">
        <v>347</v>
      </c>
      <c r="X147" s="29" t="s">
        <v>160</v>
      </c>
      <c r="Y147" s="29" t="s">
        <v>42</v>
      </c>
      <c r="Z147" s="29" t="s">
        <v>43</v>
      </c>
      <c r="AA147" s="30" t="s">
        <v>161</v>
      </c>
      <c r="AB147" s="196" t="s">
        <v>45</v>
      </c>
    </row>
    <row r="148" spans="1:28" ht="57" customHeight="1" x14ac:dyDescent="0.25">
      <c r="A148" s="17" t="s">
        <v>343</v>
      </c>
      <c r="B148" s="190">
        <v>80131502</v>
      </c>
      <c r="C148" s="192" t="s">
        <v>424</v>
      </c>
      <c r="D148" s="192"/>
      <c r="E148" s="20"/>
      <c r="F148" s="203"/>
      <c r="G148" s="203"/>
      <c r="H148" s="204">
        <v>11.5</v>
      </c>
      <c r="I148" s="190" t="s">
        <v>34</v>
      </c>
      <c r="J148" s="192" t="s">
        <v>35</v>
      </c>
      <c r="K148" s="194" t="s">
        <v>382</v>
      </c>
      <c r="L148" s="97" t="s">
        <v>37</v>
      </c>
      <c r="M148" s="26">
        <f t="shared" si="5"/>
        <v>71894817</v>
      </c>
      <c r="N148" s="26">
        <f t="shared" si="4"/>
        <v>71894817</v>
      </c>
      <c r="O148" s="26">
        <v>71894817</v>
      </c>
      <c r="P148" s="26">
        <v>0</v>
      </c>
      <c r="Q148" s="26"/>
      <c r="R148" s="26"/>
      <c r="S148" s="29" t="s">
        <v>38</v>
      </c>
      <c r="T148" s="29" t="s">
        <v>39</v>
      </c>
      <c r="U148" s="26">
        <v>75489558</v>
      </c>
      <c r="V148" s="29"/>
      <c r="W148" s="29" t="s">
        <v>347</v>
      </c>
      <c r="X148" s="29" t="s">
        <v>160</v>
      </c>
      <c r="Y148" s="29" t="s">
        <v>42</v>
      </c>
      <c r="Z148" s="29" t="s">
        <v>43</v>
      </c>
      <c r="AA148" s="30" t="s">
        <v>161</v>
      </c>
      <c r="AB148" s="196" t="s">
        <v>45</v>
      </c>
    </row>
    <row r="149" spans="1:28" ht="57" customHeight="1" x14ac:dyDescent="0.25">
      <c r="A149" s="17" t="s">
        <v>343</v>
      </c>
      <c r="B149" s="190">
        <v>80131502</v>
      </c>
      <c r="C149" s="192" t="s">
        <v>425</v>
      </c>
      <c r="D149" s="192"/>
      <c r="E149" s="20"/>
      <c r="F149" s="203"/>
      <c r="G149" s="203"/>
      <c r="H149" s="204">
        <v>11.5</v>
      </c>
      <c r="I149" s="190" t="s">
        <v>34</v>
      </c>
      <c r="J149" s="192" t="s">
        <v>35</v>
      </c>
      <c r="K149" s="194" t="s">
        <v>382</v>
      </c>
      <c r="L149" s="97" t="s">
        <v>37</v>
      </c>
      <c r="M149" s="26">
        <f t="shared" si="5"/>
        <v>40343380</v>
      </c>
      <c r="N149" s="26">
        <f t="shared" si="4"/>
        <v>40343380</v>
      </c>
      <c r="O149" s="26">
        <v>40343380</v>
      </c>
      <c r="P149" s="26">
        <v>0</v>
      </c>
      <c r="Q149" s="26"/>
      <c r="R149" s="26"/>
      <c r="S149" s="29" t="s">
        <v>38</v>
      </c>
      <c r="T149" s="29" t="s">
        <v>39</v>
      </c>
      <c r="U149" s="26">
        <v>42360549</v>
      </c>
      <c r="V149" s="29"/>
      <c r="W149" s="29" t="s">
        <v>347</v>
      </c>
      <c r="X149" s="29" t="s">
        <v>160</v>
      </c>
      <c r="Y149" s="29" t="s">
        <v>42</v>
      </c>
      <c r="Z149" s="29" t="s">
        <v>43</v>
      </c>
      <c r="AA149" s="30" t="s">
        <v>161</v>
      </c>
      <c r="AB149" s="196" t="s">
        <v>45</v>
      </c>
    </row>
    <row r="150" spans="1:28" ht="57" customHeight="1" x14ac:dyDescent="0.25">
      <c r="A150" s="17" t="s">
        <v>343</v>
      </c>
      <c r="B150" s="190">
        <v>80131502</v>
      </c>
      <c r="C150" s="192" t="s">
        <v>426</v>
      </c>
      <c r="D150" s="192"/>
      <c r="E150" s="20"/>
      <c r="F150" s="203"/>
      <c r="G150" s="203"/>
      <c r="H150" s="204">
        <v>11.5</v>
      </c>
      <c r="I150" s="190" t="s">
        <v>34</v>
      </c>
      <c r="J150" s="192" t="s">
        <v>35</v>
      </c>
      <c r="K150" s="194" t="s">
        <v>382</v>
      </c>
      <c r="L150" s="97" t="s">
        <v>37</v>
      </c>
      <c r="M150" s="26">
        <f t="shared" si="5"/>
        <v>61563696</v>
      </c>
      <c r="N150" s="26">
        <f t="shared" si="4"/>
        <v>61563696</v>
      </c>
      <c r="O150" s="26">
        <v>61563696</v>
      </c>
      <c r="P150" s="26">
        <v>0</v>
      </c>
      <c r="Q150" s="26"/>
      <c r="R150" s="26"/>
      <c r="S150" s="29" t="s">
        <v>38</v>
      </c>
      <c r="T150" s="29" t="s">
        <v>39</v>
      </c>
      <c r="U150" s="26">
        <v>64641881</v>
      </c>
      <c r="V150" s="29"/>
      <c r="W150" s="29" t="s">
        <v>347</v>
      </c>
      <c r="X150" s="29" t="s">
        <v>160</v>
      </c>
      <c r="Y150" s="29" t="s">
        <v>42</v>
      </c>
      <c r="Z150" s="29" t="s">
        <v>43</v>
      </c>
      <c r="AA150" s="30" t="s">
        <v>161</v>
      </c>
      <c r="AB150" s="196" t="s">
        <v>45</v>
      </c>
    </row>
    <row r="151" spans="1:28" ht="42.75" customHeight="1" x14ac:dyDescent="0.25">
      <c r="A151" s="17" t="s">
        <v>343</v>
      </c>
      <c r="B151" s="190">
        <v>80131502</v>
      </c>
      <c r="C151" s="19" t="s">
        <v>427</v>
      </c>
      <c r="D151" s="192"/>
      <c r="E151" s="20">
        <v>44022</v>
      </c>
      <c r="F151" s="203" t="s">
        <v>380</v>
      </c>
      <c r="G151" s="203" t="s">
        <v>380</v>
      </c>
      <c r="H151" s="30">
        <v>15</v>
      </c>
      <c r="I151" s="190" t="s">
        <v>29</v>
      </c>
      <c r="J151" s="192" t="s">
        <v>116</v>
      </c>
      <c r="K151" s="194" t="s">
        <v>382</v>
      </c>
      <c r="L151" s="97" t="s">
        <v>37</v>
      </c>
      <c r="M151" s="26">
        <f t="shared" si="5"/>
        <v>3291602382.0666671</v>
      </c>
      <c r="N151" s="26">
        <f t="shared" si="4"/>
        <v>89565698</v>
      </c>
      <c r="O151" s="26">
        <f>111883560-40000000</f>
        <v>71883560</v>
      </c>
      <c r="P151" s="210">
        <f>24682138-7000000</f>
        <v>17682138</v>
      </c>
      <c r="Q151" s="26">
        <f>2585800394+574656290.066667+41580000</f>
        <v>3202036684.0666671</v>
      </c>
      <c r="R151" s="26"/>
      <c r="S151" s="111" t="s">
        <v>164</v>
      </c>
      <c r="T151" s="111" t="s">
        <v>165</v>
      </c>
      <c r="U151" s="26"/>
      <c r="V151" s="29"/>
      <c r="W151" s="29" t="s">
        <v>347</v>
      </c>
      <c r="X151" s="29" t="s">
        <v>160</v>
      </c>
      <c r="Y151" s="29" t="s">
        <v>42</v>
      </c>
      <c r="Z151" s="29" t="s">
        <v>43</v>
      </c>
      <c r="AA151" s="30" t="s">
        <v>161</v>
      </c>
      <c r="AB151" s="196" t="s">
        <v>45</v>
      </c>
    </row>
    <row r="152" spans="1:28" ht="42.75" customHeight="1" x14ac:dyDescent="0.25">
      <c r="A152" s="59" t="s">
        <v>343</v>
      </c>
      <c r="B152" s="189">
        <v>72102900</v>
      </c>
      <c r="C152" s="211" t="s">
        <v>428</v>
      </c>
      <c r="D152" s="211"/>
      <c r="E152" s="77">
        <v>43896</v>
      </c>
      <c r="F152" s="212" t="s">
        <v>77</v>
      </c>
      <c r="G152" s="212" t="s">
        <v>429</v>
      </c>
      <c r="H152" s="213">
        <v>6</v>
      </c>
      <c r="I152" s="120" t="s">
        <v>34</v>
      </c>
      <c r="J152" s="214" t="s">
        <v>67</v>
      </c>
      <c r="K152" s="214" t="s">
        <v>430</v>
      </c>
      <c r="L152" s="120" t="s">
        <v>431</v>
      </c>
      <c r="M152" s="69">
        <f t="shared" si="5"/>
        <v>126736662</v>
      </c>
      <c r="N152" s="69">
        <f>+P151+O152</f>
        <v>126736662</v>
      </c>
      <c r="O152" s="153">
        <f>84054524+3000000+22000000</f>
        <v>109054524</v>
      </c>
      <c r="P152" s="153">
        <v>33000000</v>
      </c>
      <c r="Q152" s="69"/>
      <c r="R152" s="69"/>
      <c r="S152" s="63" t="s">
        <v>38</v>
      </c>
      <c r="T152" s="63" t="s">
        <v>39</v>
      </c>
      <c r="U152" s="69"/>
      <c r="V152" s="63" t="s">
        <v>69</v>
      </c>
      <c r="W152" s="63" t="s">
        <v>347</v>
      </c>
      <c r="X152" s="63" t="s">
        <v>160</v>
      </c>
      <c r="Y152" s="63" t="s">
        <v>42</v>
      </c>
      <c r="Z152" s="63" t="s">
        <v>43</v>
      </c>
      <c r="AA152" s="72" t="s">
        <v>161</v>
      </c>
      <c r="AB152" s="215" t="s">
        <v>45</v>
      </c>
    </row>
    <row r="153" spans="1:28" ht="57" customHeight="1" x14ac:dyDescent="0.25">
      <c r="A153" s="59" t="s">
        <v>343</v>
      </c>
      <c r="B153" s="189">
        <v>56101700</v>
      </c>
      <c r="C153" s="211" t="s">
        <v>432</v>
      </c>
      <c r="D153" s="211"/>
      <c r="E153" s="77">
        <v>43896</v>
      </c>
      <c r="F153" s="212" t="s">
        <v>77</v>
      </c>
      <c r="G153" s="212" t="s">
        <v>429</v>
      </c>
      <c r="H153" s="213">
        <v>6</v>
      </c>
      <c r="I153" s="216" t="s">
        <v>34</v>
      </c>
      <c r="J153" s="214" t="s">
        <v>187</v>
      </c>
      <c r="K153" s="214" t="s">
        <v>433</v>
      </c>
      <c r="L153" s="120" t="s">
        <v>434</v>
      </c>
      <c r="M153" s="69">
        <f>+N153+Q153+R153</f>
        <v>41297106</v>
      </c>
      <c r="N153" s="69">
        <f t="shared" si="4"/>
        <v>41297106</v>
      </c>
      <c r="O153" s="69">
        <v>41297106</v>
      </c>
      <c r="P153" s="153"/>
      <c r="Q153" s="217"/>
      <c r="R153" s="80"/>
      <c r="S153" s="63" t="s">
        <v>38</v>
      </c>
      <c r="T153" s="63" t="s">
        <v>39</v>
      </c>
      <c r="U153" s="69"/>
      <c r="V153" s="63" t="s">
        <v>69</v>
      </c>
      <c r="W153" s="63" t="s">
        <v>347</v>
      </c>
      <c r="X153" s="63" t="s">
        <v>160</v>
      </c>
      <c r="Y153" s="63" t="s">
        <v>42</v>
      </c>
      <c r="Z153" s="63" t="s">
        <v>43</v>
      </c>
      <c r="AA153" s="72" t="s">
        <v>161</v>
      </c>
      <c r="AB153" s="215" t="s">
        <v>45</v>
      </c>
    </row>
    <row r="154" spans="1:28" ht="42.75" customHeight="1" x14ac:dyDescent="0.25">
      <c r="A154" s="17" t="s">
        <v>343</v>
      </c>
      <c r="B154" s="190">
        <v>72102900</v>
      </c>
      <c r="C154" s="192" t="s">
        <v>435</v>
      </c>
      <c r="D154" s="192"/>
      <c r="E154" s="20">
        <v>43896</v>
      </c>
      <c r="F154" s="218" t="s">
        <v>77</v>
      </c>
      <c r="G154" s="218" t="s">
        <v>429</v>
      </c>
      <c r="H154" s="22">
        <v>6</v>
      </c>
      <c r="I154" s="219" t="s">
        <v>34</v>
      </c>
      <c r="J154" s="194" t="s">
        <v>67</v>
      </c>
      <c r="K154" s="194" t="s">
        <v>436</v>
      </c>
      <c r="L154" s="97" t="s">
        <v>434</v>
      </c>
      <c r="M154" s="26">
        <f t="shared" si="5"/>
        <v>12918065</v>
      </c>
      <c r="N154" s="26">
        <f t="shared" si="4"/>
        <v>12918065</v>
      </c>
      <c r="O154" s="26">
        <v>12918065</v>
      </c>
      <c r="P154" s="220"/>
      <c r="Q154" s="26"/>
      <c r="R154" s="26"/>
      <c r="S154" s="29" t="s">
        <v>38</v>
      </c>
      <c r="T154" s="29" t="s">
        <v>39</v>
      </c>
      <c r="U154" s="26"/>
      <c r="V154" s="29"/>
      <c r="W154" s="29" t="s">
        <v>347</v>
      </c>
      <c r="X154" s="29" t="s">
        <v>160</v>
      </c>
      <c r="Y154" s="29" t="s">
        <v>42</v>
      </c>
      <c r="Z154" s="29" t="s">
        <v>43</v>
      </c>
      <c r="AA154" s="30" t="s">
        <v>161</v>
      </c>
      <c r="AB154" s="196" t="s">
        <v>45</v>
      </c>
    </row>
    <row r="155" spans="1:28" ht="42.75" customHeight="1" x14ac:dyDescent="0.25">
      <c r="A155" s="59" t="s">
        <v>343</v>
      </c>
      <c r="B155" s="221" t="s">
        <v>437</v>
      </c>
      <c r="C155" s="211" t="s">
        <v>438</v>
      </c>
      <c r="D155" s="211"/>
      <c r="E155" s="77">
        <v>43924</v>
      </c>
      <c r="F155" s="79" t="s">
        <v>180</v>
      </c>
      <c r="G155" s="222" t="s">
        <v>149</v>
      </c>
      <c r="H155" s="213">
        <v>2</v>
      </c>
      <c r="I155" s="216" t="s">
        <v>34</v>
      </c>
      <c r="J155" s="214" t="s">
        <v>214</v>
      </c>
      <c r="K155" s="214" t="s">
        <v>439</v>
      </c>
      <c r="L155" s="221" t="s">
        <v>440</v>
      </c>
      <c r="M155" s="69">
        <f t="shared" si="5"/>
        <v>44525600</v>
      </c>
      <c r="N155" s="69">
        <f t="shared" si="4"/>
        <v>44525600</v>
      </c>
      <c r="O155" s="223">
        <f>10000000+1523320+33002280</f>
        <v>44525600</v>
      </c>
      <c r="P155" s="69">
        <v>0</v>
      </c>
      <c r="Q155" s="69"/>
      <c r="R155" s="69"/>
      <c r="S155" s="63" t="s">
        <v>38</v>
      </c>
      <c r="T155" s="63" t="s">
        <v>39</v>
      </c>
      <c r="U155" s="69"/>
      <c r="V155" s="63" t="s">
        <v>69</v>
      </c>
      <c r="W155" s="63" t="s">
        <v>347</v>
      </c>
      <c r="X155" s="63" t="s">
        <v>160</v>
      </c>
      <c r="Y155" s="63" t="s">
        <v>42</v>
      </c>
      <c r="Z155" s="63" t="s">
        <v>43</v>
      </c>
      <c r="AA155" s="72" t="s">
        <v>161</v>
      </c>
      <c r="AB155" s="215" t="s">
        <v>45</v>
      </c>
    </row>
    <row r="156" spans="1:28" ht="42.75" customHeight="1" x14ac:dyDescent="0.25">
      <c r="A156" s="59" t="s">
        <v>343</v>
      </c>
      <c r="B156" s="189" t="s">
        <v>441</v>
      </c>
      <c r="C156" s="211" t="s">
        <v>442</v>
      </c>
      <c r="D156" s="211"/>
      <c r="E156" s="77">
        <v>44012</v>
      </c>
      <c r="F156" s="79" t="s">
        <v>180</v>
      </c>
      <c r="G156" s="222" t="s">
        <v>149</v>
      </c>
      <c r="H156" s="213">
        <v>2</v>
      </c>
      <c r="I156" s="216" t="s">
        <v>34</v>
      </c>
      <c r="J156" s="214" t="s">
        <v>214</v>
      </c>
      <c r="K156" s="214" t="s">
        <v>439</v>
      </c>
      <c r="L156" s="120" t="s">
        <v>264</v>
      </c>
      <c r="M156" s="69">
        <f t="shared" si="5"/>
        <v>61981270</v>
      </c>
      <c r="N156" s="69">
        <f t="shared" si="4"/>
        <v>61981270</v>
      </c>
      <c r="O156" s="223">
        <f>50000000+11981270</f>
        <v>61981270</v>
      </c>
      <c r="P156" s="69">
        <v>0</v>
      </c>
      <c r="Q156" s="69"/>
      <c r="R156" s="69"/>
      <c r="S156" s="63" t="s">
        <v>38</v>
      </c>
      <c r="T156" s="63" t="s">
        <v>39</v>
      </c>
      <c r="U156" s="69"/>
      <c r="V156" s="63" t="s">
        <v>69</v>
      </c>
      <c r="W156" s="63" t="s">
        <v>347</v>
      </c>
      <c r="X156" s="63" t="s">
        <v>160</v>
      </c>
      <c r="Y156" s="63" t="s">
        <v>42</v>
      </c>
      <c r="Z156" s="63" t="s">
        <v>43</v>
      </c>
      <c r="AA156" s="72" t="s">
        <v>161</v>
      </c>
      <c r="AB156" s="215" t="s">
        <v>45</v>
      </c>
    </row>
    <row r="157" spans="1:28" ht="57.75" customHeight="1" x14ac:dyDescent="0.25">
      <c r="A157" s="59" t="s">
        <v>343</v>
      </c>
      <c r="B157" s="221" t="s">
        <v>443</v>
      </c>
      <c r="C157" s="211" t="s">
        <v>444</v>
      </c>
      <c r="D157" s="211"/>
      <c r="E157" s="77">
        <v>43896</v>
      </c>
      <c r="F157" s="212" t="s">
        <v>77</v>
      </c>
      <c r="G157" s="212" t="s">
        <v>53</v>
      </c>
      <c r="H157" s="213">
        <v>6</v>
      </c>
      <c r="I157" s="216" t="s">
        <v>34</v>
      </c>
      <c r="J157" s="211" t="s">
        <v>187</v>
      </c>
      <c r="K157" s="214" t="s">
        <v>445</v>
      </c>
      <c r="L157" s="224" t="s">
        <v>37</v>
      </c>
      <c r="M157" s="69">
        <f t="shared" si="5"/>
        <v>112598574</v>
      </c>
      <c r="N157" s="69">
        <f t="shared" si="4"/>
        <v>112598574</v>
      </c>
      <c r="O157" s="225">
        <v>112598574</v>
      </c>
      <c r="P157" s="69">
        <v>0</v>
      </c>
      <c r="Q157" s="69"/>
      <c r="R157" s="69"/>
      <c r="S157" s="63" t="s">
        <v>38</v>
      </c>
      <c r="T157" s="63" t="s">
        <v>39</v>
      </c>
      <c r="U157" s="69"/>
      <c r="V157" s="63" t="s">
        <v>69</v>
      </c>
      <c r="W157" s="63" t="s">
        <v>347</v>
      </c>
      <c r="X157" s="63" t="s">
        <v>160</v>
      </c>
      <c r="Y157" s="63" t="s">
        <v>42</v>
      </c>
      <c r="Z157" s="63" t="s">
        <v>43</v>
      </c>
      <c r="AA157" s="72" t="s">
        <v>161</v>
      </c>
      <c r="AB157" s="215" t="s">
        <v>45</v>
      </c>
    </row>
    <row r="158" spans="1:28" ht="42.75" customHeight="1" x14ac:dyDescent="0.25">
      <c r="A158" s="59" t="s">
        <v>343</v>
      </c>
      <c r="B158" s="189" t="s">
        <v>446</v>
      </c>
      <c r="C158" s="226" t="s">
        <v>447</v>
      </c>
      <c r="D158" s="211"/>
      <c r="E158" s="77">
        <v>43896</v>
      </c>
      <c r="F158" s="212" t="s">
        <v>77</v>
      </c>
      <c r="G158" s="212" t="s">
        <v>53</v>
      </c>
      <c r="H158" s="213">
        <v>7</v>
      </c>
      <c r="I158" s="216" t="s">
        <v>34</v>
      </c>
      <c r="J158" s="214" t="s">
        <v>67</v>
      </c>
      <c r="K158" s="214" t="s">
        <v>448</v>
      </c>
      <c r="L158" s="120" t="s">
        <v>37</v>
      </c>
      <c r="M158" s="69">
        <f t="shared" si="5"/>
        <v>205981600</v>
      </c>
      <c r="N158" s="69">
        <f t="shared" si="4"/>
        <v>205981600</v>
      </c>
      <c r="O158" s="227">
        <f>131540968+57981600+5000000</f>
        <v>194522568</v>
      </c>
      <c r="P158" s="228">
        <v>11459032</v>
      </c>
      <c r="Q158" s="69"/>
      <c r="R158" s="69"/>
      <c r="S158" s="63" t="s">
        <v>38</v>
      </c>
      <c r="T158" s="63" t="s">
        <v>39</v>
      </c>
      <c r="U158" s="69"/>
      <c r="V158" s="63" t="s">
        <v>69</v>
      </c>
      <c r="W158" s="63" t="s">
        <v>347</v>
      </c>
      <c r="X158" s="63" t="s">
        <v>160</v>
      </c>
      <c r="Y158" s="63" t="s">
        <v>42</v>
      </c>
      <c r="Z158" s="63" t="s">
        <v>43</v>
      </c>
      <c r="AA158" s="72" t="s">
        <v>161</v>
      </c>
      <c r="AB158" s="215" t="s">
        <v>45</v>
      </c>
    </row>
    <row r="159" spans="1:28" ht="42.75" customHeight="1" x14ac:dyDescent="0.25">
      <c r="A159" s="32" t="s">
        <v>343</v>
      </c>
      <c r="B159" s="186">
        <v>84131503</v>
      </c>
      <c r="C159" s="198" t="s">
        <v>449</v>
      </c>
      <c r="D159" s="198"/>
      <c r="E159" s="52"/>
      <c r="F159" s="44"/>
      <c r="G159" s="100"/>
      <c r="H159" s="53"/>
      <c r="I159" s="229" t="s">
        <v>171</v>
      </c>
      <c r="J159" s="198"/>
      <c r="K159" s="200" t="s">
        <v>450</v>
      </c>
      <c r="L159" s="93" t="s">
        <v>451</v>
      </c>
      <c r="M159" s="42">
        <f t="shared" si="5"/>
        <v>2316600</v>
      </c>
      <c r="N159" s="42">
        <f t="shared" si="4"/>
        <v>2316600</v>
      </c>
      <c r="O159" s="230">
        <v>2316600</v>
      </c>
      <c r="P159" s="42"/>
      <c r="Q159" s="42"/>
      <c r="R159" s="42"/>
      <c r="S159" s="44" t="s">
        <v>38</v>
      </c>
      <c r="T159" s="44" t="s">
        <v>39</v>
      </c>
      <c r="U159" s="42"/>
      <c r="V159" s="44" t="s">
        <v>93</v>
      </c>
      <c r="W159" s="44" t="s">
        <v>347</v>
      </c>
      <c r="X159" s="44" t="s">
        <v>160</v>
      </c>
      <c r="Y159" s="44" t="s">
        <v>42</v>
      </c>
      <c r="Z159" s="44" t="s">
        <v>43</v>
      </c>
      <c r="AA159" s="45" t="s">
        <v>161</v>
      </c>
      <c r="AB159" s="202" t="s">
        <v>45</v>
      </c>
    </row>
    <row r="160" spans="1:28" ht="83.5" customHeight="1" x14ac:dyDescent="0.25">
      <c r="A160" s="32" t="s">
        <v>343</v>
      </c>
      <c r="B160" s="186">
        <v>84131503</v>
      </c>
      <c r="C160" s="198" t="s">
        <v>450</v>
      </c>
      <c r="D160" s="198"/>
      <c r="E160" s="52">
        <v>43868</v>
      </c>
      <c r="F160" s="44" t="s">
        <v>84</v>
      </c>
      <c r="G160" s="100" t="s">
        <v>77</v>
      </c>
      <c r="H160" s="53">
        <v>1798</v>
      </c>
      <c r="I160" s="229" t="s">
        <v>171</v>
      </c>
      <c r="J160" s="198" t="s">
        <v>133</v>
      </c>
      <c r="K160" s="200" t="s">
        <v>450</v>
      </c>
      <c r="L160" s="93" t="s">
        <v>451</v>
      </c>
      <c r="M160" s="42">
        <f t="shared" si="5"/>
        <v>785681371</v>
      </c>
      <c r="N160" s="42">
        <f t="shared" si="4"/>
        <v>785681371</v>
      </c>
      <c r="O160" s="230">
        <f>1255597858-92141008-60943295-316832184</f>
        <v>785681371</v>
      </c>
      <c r="P160" s="42"/>
      <c r="Q160" s="42"/>
      <c r="R160" s="42"/>
      <c r="S160" s="44" t="s">
        <v>38</v>
      </c>
      <c r="T160" s="44" t="s">
        <v>39</v>
      </c>
      <c r="U160" s="42"/>
      <c r="V160" s="44" t="s">
        <v>93</v>
      </c>
      <c r="W160" s="44" t="s">
        <v>347</v>
      </c>
      <c r="X160" s="44" t="s">
        <v>160</v>
      </c>
      <c r="Y160" s="44" t="s">
        <v>42</v>
      </c>
      <c r="Z160" s="44" t="s">
        <v>43</v>
      </c>
      <c r="AA160" s="45" t="s">
        <v>161</v>
      </c>
      <c r="AB160" s="202" t="s">
        <v>45</v>
      </c>
    </row>
    <row r="161" spans="1:28" ht="42.75" customHeight="1" x14ac:dyDescent="0.25">
      <c r="A161" s="32" t="s">
        <v>343</v>
      </c>
      <c r="B161" s="186">
        <v>84131503</v>
      </c>
      <c r="C161" s="198" t="s">
        <v>452</v>
      </c>
      <c r="D161" s="198"/>
      <c r="E161" s="52"/>
      <c r="F161" s="44" t="s">
        <v>77</v>
      </c>
      <c r="G161" s="100" t="s">
        <v>53</v>
      </c>
      <c r="H161" s="53">
        <v>1</v>
      </c>
      <c r="I161" s="229" t="s">
        <v>453</v>
      </c>
      <c r="J161" s="198" t="s">
        <v>163</v>
      </c>
      <c r="K161" s="200" t="s">
        <v>450</v>
      </c>
      <c r="L161" s="93" t="s">
        <v>451</v>
      </c>
      <c r="M161" s="42">
        <f>+N161+Q161+R161</f>
        <v>59152057</v>
      </c>
      <c r="N161" s="42">
        <f>+P161+O161</f>
        <v>59152057</v>
      </c>
      <c r="O161" s="230">
        <f>1255597858-1102513555-60943295-32988951</f>
        <v>59152057</v>
      </c>
      <c r="P161" s="42"/>
      <c r="Q161" s="42"/>
      <c r="R161" s="42"/>
      <c r="S161" s="44" t="s">
        <v>38</v>
      </c>
      <c r="T161" s="44" t="s">
        <v>39</v>
      </c>
      <c r="U161" s="42"/>
      <c r="V161" s="44" t="s">
        <v>93</v>
      </c>
      <c r="W161" s="44" t="s">
        <v>347</v>
      </c>
      <c r="X161" s="44" t="s">
        <v>160</v>
      </c>
      <c r="Y161" s="44" t="s">
        <v>42</v>
      </c>
      <c r="Z161" s="44" t="s">
        <v>43</v>
      </c>
      <c r="AA161" s="45" t="s">
        <v>161</v>
      </c>
      <c r="AB161" s="202" t="s">
        <v>45</v>
      </c>
    </row>
    <row r="162" spans="1:28" ht="75" customHeight="1" x14ac:dyDescent="0.25">
      <c r="A162" s="32" t="s">
        <v>343</v>
      </c>
      <c r="B162" s="186">
        <v>84131503</v>
      </c>
      <c r="C162" s="198" t="s">
        <v>454</v>
      </c>
      <c r="D162" s="198"/>
      <c r="E162" s="52">
        <v>43868</v>
      </c>
      <c r="F162" s="44" t="s">
        <v>84</v>
      </c>
      <c r="G162" s="100" t="s">
        <v>77</v>
      </c>
      <c r="H162" s="53">
        <v>1799</v>
      </c>
      <c r="I162" s="229" t="s">
        <v>171</v>
      </c>
      <c r="J162" s="198" t="s">
        <v>133</v>
      </c>
      <c r="K162" s="200" t="s">
        <v>450</v>
      </c>
      <c r="L162" s="93" t="s">
        <v>455</v>
      </c>
      <c r="M162" s="42">
        <f>+N162+Q162+R162</f>
        <v>117570352</v>
      </c>
      <c r="N162" s="42">
        <f t="shared" si="4"/>
        <v>117570352</v>
      </c>
      <c r="O162" s="230">
        <f>65592320+36909973</f>
        <v>102502293</v>
      </c>
      <c r="P162" s="42">
        <v>15068059</v>
      </c>
      <c r="Q162" s="42"/>
      <c r="R162" s="42"/>
      <c r="S162" s="44" t="s">
        <v>38</v>
      </c>
      <c r="T162" s="44" t="s">
        <v>39</v>
      </c>
      <c r="U162" s="42"/>
      <c r="V162" s="44" t="s">
        <v>93</v>
      </c>
      <c r="W162" s="44" t="s">
        <v>347</v>
      </c>
      <c r="X162" s="44" t="s">
        <v>160</v>
      </c>
      <c r="Y162" s="44" t="s">
        <v>42</v>
      </c>
      <c r="Z162" s="44" t="s">
        <v>43</v>
      </c>
      <c r="AA162" s="45" t="s">
        <v>174</v>
      </c>
      <c r="AB162" s="202" t="s">
        <v>45</v>
      </c>
    </row>
    <row r="163" spans="1:28" ht="42.75" customHeight="1" x14ac:dyDescent="0.25">
      <c r="A163" s="59" t="s">
        <v>343</v>
      </c>
      <c r="B163" s="189">
        <v>46182200</v>
      </c>
      <c r="C163" s="211" t="s">
        <v>456</v>
      </c>
      <c r="D163" s="211"/>
      <c r="E163" s="77">
        <v>43921</v>
      </c>
      <c r="F163" s="63" t="s">
        <v>77</v>
      </c>
      <c r="G163" s="63" t="s">
        <v>53</v>
      </c>
      <c r="H163" s="213">
        <v>2</v>
      </c>
      <c r="I163" s="216" t="s">
        <v>34</v>
      </c>
      <c r="J163" s="231" t="s">
        <v>67</v>
      </c>
      <c r="K163" s="214" t="s">
        <v>439</v>
      </c>
      <c r="L163" s="120" t="s">
        <v>264</v>
      </c>
      <c r="M163" s="69">
        <f t="shared" si="5"/>
        <v>42050599</v>
      </c>
      <c r="N163" s="69">
        <f t="shared" si="4"/>
        <v>42050599</v>
      </c>
      <c r="O163" s="69">
        <f>34000000+8050599</f>
        <v>42050599</v>
      </c>
      <c r="P163" s="69"/>
      <c r="Q163" s="69"/>
      <c r="R163" s="69"/>
      <c r="S163" s="63" t="s">
        <v>38</v>
      </c>
      <c r="T163" s="63" t="s">
        <v>39</v>
      </c>
      <c r="U163" s="69"/>
      <c r="V163" s="63" t="s">
        <v>69</v>
      </c>
      <c r="W163" s="63" t="s">
        <v>347</v>
      </c>
      <c r="X163" s="63" t="s">
        <v>160</v>
      </c>
      <c r="Y163" s="63" t="s">
        <v>42</v>
      </c>
      <c r="Z163" s="63" t="s">
        <v>43</v>
      </c>
      <c r="AA163" s="72" t="s">
        <v>161</v>
      </c>
      <c r="AB163" s="215" t="s">
        <v>45</v>
      </c>
    </row>
    <row r="164" spans="1:28" ht="42.75" customHeight="1" x14ac:dyDescent="0.25">
      <c r="A164" s="59" t="s">
        <v>343</v>
      </c>
      <c r="B164" s="189">
        <v>46191600</v>
      </c>
      <c r="C164" s="211" t="s">
        <v>457</v>
      </c>
      <c r="D164" s="211"/>
      <c r="E164" s="77">
        <v>43921</v>
      </c>
      <c r="F164" s="221" t="s">
        <v>84</v>
      </c>
      <c r="G164" s="221" t="s">
        <v>53</v>
      </c>
      <c r="H164" s="213">
        <v>2</v>
      </c>
      <c r="I164" s="216" t="s">
        <v>34</v>
      </c>
      <c r="J164" s="214" t="s">
        <v>214</v>
      </c>
      <c r="K164" s="214" t="s">
        <v>439</v>
      </c>
      <c r="L164" s="120" t="s">
        <v>264</v>
      </c>
      <c r="M164" s="69">
        <f t="shared" si="5"/>
        <v>35216052</v>
      </c>
      <c r="N164" s="69">
        <f t="shared" si="4"/>
        <v>35216052</v>
      </c>
      <c r="O164" s="225">
        <f xml:space="preserve"> 26032052+9184000</f>
        <v>35216052</v>
      </c>
      <c r="P164" s="69"/>
      <c r="Q164" s="69"/>
      <c r="R164" s="69"/>
      <c r="S164" s="63" t="s">
        <v>38</v>
      </c>
      <c r="T164" s="63" t="s">
        <v>39</v>
      </c>
      <c r="U164" s="69"/>
      <c r="V164" s="63" t="s">
        <v>69</v>
      </c>
      <c r="W164" s="63" t="s">
        <v>347</v>
      </c>
      <c r="X164" s="63" t="s">
        <v>160</v>
      </c>
      <c r="Y164" s="63" t="s">
        <v>42</v>
      </c>
      <c r="Z164" s="63" t="s">
        <v>43</v>
      </c>
      <c r="AA164" s="72" t="s">
        <v>161</v>
      </c>
      <c r="AB164" s="215" t="s">
        <v>45</v>
      </c>
    </row>
    <row r="165" spans="1:28" ht="42.75" customHeight="1" x14ac:dyDescent="0.25">
      <c r="A165" s="59" t="s">
        <v>343</v>
      </c>
      <c r="B165" s="60">
        <v>42192200</v>
      </c>
      <c r="C165" s="61" t="s">
        <v>458</v>
      </c>
      <c r="D165" s="61"/>
      <c r="E165" s="77">
        <v>43921</v>
      </c>
      <c r="F165" s="78" t="s">
        <v>53</v>
      </c>
      <c r="G165" s="78" t="s">
        <v>33</v>
      </c>
      <c r="H165" s="72">
        <v>2</v>
      </c>
      <c r="I165" s="66" t="s">
        <v>34</v>
      </c>
      <c r="J165" s="61" t="s">
        <v>214</v>
      </c>
      <c r="K165" s="63" t="s">
        <v>439</v>
      </c>
      <c r="L165" s="82" t="s">
        <v>264</v>
      </c>
      <c r="M165" s="69">
        <f t="shared" si="5"/>
        <v>8300000</v>
      </c>
      <c r="N165" s="69">
        <f t="shared" si="4"/>
        <v>8300000</v>
      </c>
      <c r="O165" s="69">
        <v>8300000</v>
      </c>
      <c r="P165" s="69">
        <v>0</v>
      </c>
      <c r="Q165" s="69"/>
      <c r="R165" s="69"/>
      <c r="S165" s="63" t="s">
        <v>38</v>
      </c>
      <c r="T165" s="63" t="s">
        <v>39</v>
      </c>
      <c r="U165" s="69"/>
      <c r="V165" s="63" t="s">
        <v>69</v>
      </c>
      <c r="W165" s="63" t="s">
        <v>347</v>
      </c>
      <c r="X165" s="63" t="s">
        <v>160</v>
      </c>
      <c r="Y165" s="63" t="s">
        <v>42</v>
      </c>
      <c r="Z165" s="63" t="s">
        <v>43</v>
      </c>
      <c r="AA165" s="72" t="s">
        <v>161</v>
      </c>
      <c r="AB165" s="117" t="s">
        <v>45</v>
      </c>
    </row>
    <row r="166" spans="1:28" ht="91" customHeight="1" x14ac:dyDescent="0.25">
      <c r="A166" s="59" t="s">
        <v>343</v>
      </c>
      <c r="B166" s="60" t="s">
        <v>459</v>
      </c>
      <c r="C166" s="61" t="s">
        <v>460</v>
      </c>
      <c r="D166" s="61"/>
      <c r="E166" s="232">
        <v>43921</v>
      </c>
      <c r="F166" s="78" t="s">
        <v>77</v>
      </c>
      <c r="G166" s="78" t="s">
        <v>77</v>
      </c>
      <c r="H166" s="213">
        <v>7</v>
      </c>
      <c r="I166" s="66" t="s">
        <v>34</v>
      </c>
      <c r="J166" s="233" t="s">
        <v>214</v>
      </c>
      <c r="K166" s="63" t="s">
        <v>461</v>
      </c>
      <c r="L166" s="82" t="s">
        <v>462</v>
      </c>
      <c r="M166" s="69">
        <f t="shared" si="5"/>
        <v>10500000</v>
      </c>
      <c r="N166" s="69">
        <f t="shared" si="4"/>
        <v>10500000</v>
      </c>
      <c r="O166" s="69">
        <v>10500000</v>
      </c>
      <c r="P166" s="69">
        <v>0</v>
      </c>
      <c r="Q166" s="69"/>
      <c r="R166" s="69"/>
      <c r="S166" s="63" t="s">
        <v>38</v>
      </c>
      <c r="T166" s="63" t="s">
        <v>39</v>
      </c>
      <c r="U166" s="69"/>
      <c r="V166" s="63" t="s">
        <v>69</v>
      </c>
      <c r="W166" s="63" t="s">
        <v>347</v>
      </c>
      <c r="X166" s="63" t="s">
        <v>160</v>
      </c>
      <c r="Y166" s="63" t="s">
        <v>42</v>
      </c>
      <c r="Z166" s="63" t="s">
        <v>43</v>
      </c>
      <c r="AA166" s="72" t="s">
        <v>161</v>
      </c>
      <c r="AB166" s="117" t="s">
        <v>45</v>
      </c>
    </row>
    <row r="167" spans="1:28" ht="77" customHeight="1" x14ac:dyDescent="0.25">
      <c r="A167" s="59" t="s">
        <v>343</v>
      </c>
      <c r="B167" s="60">
        <v>30162303</v>
      </c>
      <c r="C167" s="61" t="s">
        <v>463</v>
      </c>
      <c r="D167" s="61"/>
      <c r="E167" s="77">
        <v>43917</v>
      </c>
      <c r="F167" s="78" t="s">
        <v>77</v>
      </c>
      <c r="G167" s="78" t="s">
        <v>53</v>
      </c>
      <c r="H167" s="213">
        <v>2</v>
      </c>
      <c r="I167" s="188" t="s">
        <v>34</v>
      </c>
      <c r="J167" s="233" t="s">
        <v>214</v>
      </c>
      <c r="K167" s="63" t="s">
        <v>464</v>
      </c>
      <c r="L167" s="82" t="s">
        <v>465</v>
      </c>
      <c r="M167" s="69">
        <f t="shared" si="5"/>
        <v>9000000</v>
      </c>
      <c r="N167" s="69">
        <f t="shared" si="4"/>
        <v>9000000</v>
      </c>
      <c r="O167" s="69"/>
      <c r="P167" s="69">
        <v>9000000</v>
      </c>
      <c r="Q167" s="69"/>
      <c r="R167" s="69"/>
      <c r="S167" s="63" t="s">
        <v>38</v>
      </c>
      <c r="T167" s="63" t="s">
        <v>39</v>
      </c>
      <c r="U167" s="69"/>
      <c r="V167" s="63" t="s">
        <v>69</v>
      </c>
      <c r="W167" s="63" t="s">
        <v>347</v>
      </c>
      <c r="X167" s="63" t="s">
        <v>160</v>
      </c>
      <c r="Y167" s="63" t="s">
        <v>42</v>
      </c>
      <c r="Z167" s="63" t="s">
        <v>43</v>
      </c>
      <c r="AA167" s="72" t="s">
        <v>161</v>
      </c>
      <c r="AB167" s="117" t="s">
        <v>45</v>
      </c>
    </row>
    <row r="168" spans="1:28" ht="99.75" customHeight="1" x14ac:dyDescent="0.25">
      <c r="A168" s="32" t="s">
        <v>466</v>
      </c>
      <c r="B168" s="40">
        <v>82101500</v>
      </c>
      <c r="C168" s="34" t="s">
        <v>467</v>
      </c>
      <c r="D168" s="34"/>
      <c r="E168" s="52">
        <v>43868</v>
      </c>
      <c r="F168" s="234" t="s">
        <v>84</v>
      </c>
      <c r="G168" s="234" t="s">
        <v>84</v>
      </c>
      <c r="H168" s="234" t="s">
        <v>468</v>
      </c>
      <c r="I168" s="234" t="s">
        <v>34</v>
      </c>
      <c r="J168" s="34" t="s">
        <v>35</v>
      </c>
      <c r="K168" s="40" t="s">
        <v>469</v>
      </c>
      <c r="L168" s="93" t="s">
        <v>264</v>
      </c>
      <c r="M168" s="42">
        <f t="shared" si="5"/>
        <v>200000000</v>
      </c>
      <c r="N168" s="42">
        <f t="shared" si="4"/>
        <v>200000000</v>
      </c>
      <c r="O168" s="42">
        <f>192050000+7950000</f>
        <v>200000000</v>
      </c>
      <c r="P168" s="42">
        <v>0</v>
      </c>
      <c r="Q168" s="42"/>
      <c r="R168" s="42"/>
      <c r="S168" s="44" t="s">
        <v>38</v>
      </c>
      <c r="T168" s="44" t="s">
        <v>39</v>
      </c>
      <c r="U168" s="42"/>
      <c r="V168" s="44" t="s">
        <v>93</v>
      </c>
      <c r="W168" s="44" t="s">
        <v>470</v>
      </c>
      <c r="X168" s="44" t="s">
        <v>160</v>
      </c>
      <c r="Y168" s="44" t="s">
        <v>42</v>
      </c>
      <c r="Z168" s="44" t="s">
        <v>43</v>
      </c>
      <c r="AA168" s="45" t="s">
        <v>161</v>
      </c>
      <c r="AB168" s="89" t="s">
        <v>45</v>
      </c>
    </row>
    <row r="169" spans="1:28" ht="128.25" customHeight="1" x14ac:dyDescent="0.25">
      <c r="A169" s="59" t="s">
        <v>466</v>
      </c>
      <c r="B169" s="82" t="s">
        <v>471</v>
      </c>
      <c r="C169" s="61" t="s">
        <v>472</v>
      </c>
      <c r="D169" s="61"/>
      <c r="E169" s="77">
        <v>43854</v>
      </c>
      <c r="F169" s="235" t="s">
        <v>84</v>
      </c>
      <c r="G169" s="235" t="s">
        <v>77</v>
      </c>
      <c r="H169" s="235" t="s">
        <v>473</v>
      </c>
      <c r="I169" s="235" t="s">
        <v>34</v>
      </c>
      <c r="J169" s="233" t="s">
        <v>133</v>
      </c>
      <c r="K169" s="82" t="s">
        <v>474</v>
      </c>
      <c r="L169" s="120" t="s">
        <v>37</v>
      </c>
      <c r="M169" s="69">
        <f t="shared" si="5"/>
        <v>2000000000</v>
      </c>
      <c r="N169" s="69">
        <f t="shared" si="4"/>
        <v>2000000000</v>
      </c>
      <c r="O169" s="69">
        <v>2000000000</v>
      </c>
      <c r="P169" s="69">
        <v>0</v>
      </c>
      <c r="Q169" s="69"/>
      <c r="R169" s="69"/>
      <c r="S169" s="63" t="s">
        <v>38</v>
      </c>
      <c r="T169" s="63" t="s">
        <v>39</v>
      </c>
      <c r="U169" s="69"/>
      <c r="V169" s="63" t="s">
        <v>69</v>
      </c>
      <c r="W169" s="63" t="s">
        <v>470</v>
      </c>
      <c r="X169" s="63" t="s">
        <v>160</v>
      </c>
      <c r="Y169" s="63" t="s">
        <v>42</v>
      </c>
      <c r="Z169" s="63" t="s">
        <v>43</v>
      </c>
      <c r="AA169" s="72" t="s">
        <v>161</v>
      </c>
      <c r="AB169" s="117" t="s">
        <v>45</v>
      </c>
    </row>
    <row r="170" spans="1:28" ht="71.25" customHeight="1" x14ac:dyDescent="0.25">
      <c r="A170" s="59" t="s">
        <v>466</v>
      </c>
      <c r="B170" s="82">
        <v>83121700</v>
      </c>
      <c r="C170" s="61" t="s">
        <v>475</v>
      </c>
      <c r="D170" s="61"/>
      <c r="E170" s="77">
        <v>43854</v>
      </c>
      <c r="F170" s="236" t="s">
        <v>77</v>
      </c>
      <c r="G170" s="235" t="s">
        <v>53</v>
      </c>
      <c r="H170" s="235" t="s">
        <v>476</v>
      </c>
      <c r="I170" s="235" t="s">
        <v>34</v>
      </c>
      <c r="J170" s="61" t="s">
        <v>67</v>
      </c>
      <c r="K170" s="82" t="s">
        <v>474</v>
      </c>
      <c r="L170" s="120" t="s">
        <v>37</v>
      </c>
      <c r="M170" s="69">
        <f t="shared" si="5"/>
        <v>86000000</v>
      </c>
      <c r="N170" s="69">
        <f t="shared" si="4"/>
        <v>86000000</v>
      </c>
      <c r="O170" s="69">
        <v>86000000</v>
      </c>
      <c r="P170" s="69">
        <v>0</v>
      </c>
      <c r="Q170" s="69"/>
      <c r="R170" s="69"/>
      <c r="S170" s="63" t="s">
        <v>38</v>
      </c>
      <c r="T170" s="63" t="s">
        <v>39</v>
      </c>
      <c r="U170" s="69"/>
      <c r="V170" s="63" t="s">
        <v>69</v>
      </c>
      <c r="W170" s="63" t="s">
        <v>470</v>
      </c>
      <c r="X170" s="63" t="s">
        <v>160</v>
      </c>
      <c r="Y170" s="63" t="s">
        <v>42</v>
      </c>
      <c r="Z170" s="63" t="s">
        <v>43</v>
      </c>
      <c r="AA170" s="72" t="s">
        <v>161</v>
      </c>
      <c r="AB170" s="117" t="s">
        <v>45</v>
      </c>
    </row>
    <row r="171" spans="1:28" ht="85.5" customHeight="1" x14ac:dyDescent="0.25">
      <c r="A171" s="59" t="s">
        <v>466</v>
      </c>
      <c r="B171" s="82" t="s">
        <v>477</v>
      </c>
      <c r="C171" s="61" t="s">
        <v>132</v>
      </c>
      <c r="D171" s="61"/>
      <c r="E171" s="77">
        <v>43889</v>
      </c>
      <c r="F171" s="63" t="s">
        <v>84</v>
      </c>
      <c r="G171" s="64" t="s">
        <v>53</v>
      </c>
      <c r="H171" s="65">
        <v>8</v>
      </c>
      <c r="I171" s="63" t="s">
        <v>34</v>
      </c>
      <c r="J171" s="61" t="s">
        <v>133</v>
      </c>
      <c r="K171" s="82" t="s">
        <v>478</v>
      </c>
      <c r="L171" s="120" t="s">
        <v>37</v>
      </c>
      <c r="M171" s="69">
        <f t="shared" si="5"/>
        <v>125000000</v>
      </c>
      <c r="N171" s="69">
        <f t="shared" si="4"/>
        <v>125000000</v>
      </c>
      <c r="O171" s="69">
        <v>125000000</v>
      </c>
      <c r="P171" s="69">
        <v>0</v>
      </c>
      <c r="Q171" s="69"/>
      <c r="R171" s="69"/>
      <c r="S171" s="63" t="s">
        <v>38</v>
      </c>
      <c r="T171" s="63" t="s">
        <v>39</v>
      </c>
      <c r="U171" s="69"/>
      <c r="V171" s="63" t="s">
        <v>69</v>
      </c>
      <c r="W171" s="63" t="s">
        <v>470</v>
      </c>
      <c r="X171" s="63" t="s">
        <v>160</v>
      </c>
      <c r="Y171" s="63" t="s">
        <v>42</v>
      </c>
      <c r="Z171" s="63" t="s">
        <v>43</v>
      </c>
      <c r="AA171" s="72" t="s">
        <v>161</v>
      </c>
      <c r="AB171" s="117" t="s">
        <v>45</v>
      </c>
    </row>
    <row r="172" spans="1:28" ht="57" customHeight="1" x14ac:dyDescent="0.25">
      <c r="A172" s="17" t="s">
        <v>479</v>
      </c>
      <c r="B172" s="18">
        <v>82111902</v>
      </c>
      <c r="C172" s="19" t="s">
        <v>480</v>
      </c>
      <c r="D172" s="19"/>
      <c r="E172" s="20">
        <v>44012</v>
      </c>
      <c r="F172" s="21" t="s">
        <v>194</v>
      </c>
      <c r="G172" s="21" t="s">
        <v>245</v>
      </c>
      <c r="H172" s="22">
        <v>1</v>
      </c>
      <c r="I172" s="92" t="s">
        <v>34</v>
      </c>
      <c r="J172" s="19" t="s">
        <v>67</v>
      </c>
      <c r="K172" s="29" t="s">
        <v>481</v>
      </c>
      <c r="L172" s="24" t="s">
        <v>264</v>
      </c>
      <c r="M172" s="26">
        <f t="shared" si="5"/>
        <v>2121800</v>
      </c>
      <c r="N172" s="26">
        <f t="shared" si="4"/>
        <v>2121800</v>
      </c>
      <c r="O172" s="26">
        <v>2121800</v>
      </c>
      <c r="P172" s="26">
        <v>0</v>
      </c>
      <c r="Q172" s="26"/>
      <c r="R172" s="26"/>
      <c r="S172" s="29" t="s">
        <v>38</v>
      </c>
      <c r="T172" s="29" t="s">
        <v>39</v>
      </c>
      <c r="U172" s="26"/>
      <c r="V172" s="29"/>
      <c r="W172" s="29" t="s">
        <v>482</v>
      </c>
      <c r="X172" s="29" t="s">
        <v>160</v>
      </c>
      <c r="Y172" s="29" t="s">
        <v>483</v>
      </c>
      <c r="Z172" s="29" t="s">
        <v>43</v>
      </c>
      <c r="AA172" s="30" t="s">
        <v>484</v>
      </c>
      <c r="AB172" s="87" t="s">
        <v>45</v>
      </c>
    </row>
    <row r="173" spans="1:28" ht="57" customHeight="1" x14ac:dyDescent="0.25">
      <c r="A173" s="59" t="s">
        <v>479</v>
      </c>
      <c r="B173" s="60">
        <v>86101705</v>
      </c>
      <c r="C173" s="61" t="s">
        <v>132</v>
      </c>
      <c r="D173" s="61"/>
      <c r="E173" s="77">
        <v>43889</v>
      </c>
      <c r="F173" s="63" t="s">
        <v>84</v>
      </c>
      <c r="G173" s="64" t="s">
        <v>53</v>
      </c>
      <c r="H173" s="65">
        <v>8</v>
      </c>
      <c r="I173" s="63" t="s">
        <v>34</v>
      </c>
      <c r="J173" s="61" t="s">
        <v>133</v>
      </c>
      <c r="K173" s="63" t="s">
        <v>485</v>
      </c>
      <c r="L173" s="82" t="s">
        <v>37</v>
      </c>
      <c r="M173" s="69">
        <f t="shared" si="5"/>
        <v>65000000</v>
      </c>
      <c r="N173" s="69">
        <f t="shared" ref="N173:N175" si="6">+P173+O173</f>
        <v>65000000</v>
      </c>
      <c r="O173" s="69">
        <v>65000000</v>
      </c>
      <c r="P173" s="69">
        <v>0</v>
      </c>
      <c r="Q173" s="69"/>
      <c r="R173" s="69"/>
      <c r="S173" s="63" t="s">
        <v>38</v>
      </c>
      <c r="T173" s="63" t="s">
        <v>39</v>
      </c>
      <c r="U173" s="69"/>
      <c r="V173" s="63" t="s">
        <v>69</v>
      </c>
      <c r="W173" s="63" t="s">
        <v>482</v>
      </c>
      <c r="X173" s="63" t="s">
        <v>160</v>
      </c>
      <c r="Y173" s="63" t="s">
        <v>483</v>
      </c>
      <c r="Z173" s="63" t="s">
        <v>43</v>
      </c>
      <c r="AA173" s="72" t="s">
        <v>484</v>
      </c>
      <c r="AB173" s="117" t="s">
        <v>45</v>
      </c>
    </row>
    <row r="174" spans="1:28" ht="85.5" customHeight="1" x14ac:dyDescent="0.25">
      <c r="A174" s="32" t="s">
        <v>479</v>
      </c>
      <c r="B174" s="33">
        <v>80120000</v>
      </c>
      <c r="C174" s="34" t="s">
        <v>486</v>
      </c>
      <c r="D174" s="34"/>
      <c r="E174" s="36">
        <v>43889</v>
      </c>
      <c r="F174" s="237" t="s">
        <v>84</v>
      </c>
      <c r="G174" s="237" t="s">
        <v>84</v>
      </c>
      <c r="H174" s="53">
        <v>6</v>
      </c>
      <c r="I174" s="39" t="s">
        <v>34</v>
      </c>
      <c r="J174" s="34" t="s">
        <v>35</v>
      </c>
      <c r="K174" s="44" t="s">
        <v>487</v>
      </c>
      <c r="L174" s="40" t="s">
        <v>37</v>
      </c>
      <c r="M174" s="42">
        <f t="shared" si="5"/>
        <v>76365120</v>
      </c>
      <c r="N174" s="42">
        <f t="shared" si="6"/>
        <v>76365120</v>
      </c>
      <c r="O174" s="42">
        <v>76365120</v>
      </c>
      <c r="P174" s="42">
        <v>0</v>
      </c>
      <c r="Q174" s="42"/>
      <c r="R174" s="42"/>
      <c r="S174" s="44" t="s">
        <v>38</v>
      </c>
      <c r="T174" s="44" t="s">
        <v>39</v>
      </c>
      <c r="U174" s="42"/>
      <c r="V174" s="44" t="s">
        <v>93</v>
      </c>
      <c r="W174" s="44" t="s">
        <v>482</v>
      </c>
      <c r="X174" s="44" t="s">
        <v>160</v>
      </c>
      <c r="Y174" s="44" t="s">
        <v>483</v>
      </c>
      <c r="Z174" s="44" t="s">
        <v>43</v>
      </c>
      <c r="AA174" s="45" t="s">
        <v>484</v>
      </c>
      <c r="AB174" s="89" t="s">
        <v>45</v>
      </c>
    </row>
    <row r="175" spans="1:28" ht="42" customHeight="1" x14ac:dyDescent="0.3">
      <c r="A175" s="238" t="s">
        <v>488</v>
      </c>
      <c r="B175" s="239" t="s">
        <v>489</v>
      </c>
      <c r="C175" s="240" t="s">
        <v>132</v>
      </c>
      <c r="D175" s="240"/>
      <c r="E175" s="241">
        <v>43889</v>
      </c>
      <c r="F175" s="242" t="s">
        <v>84</v>
      </c>
      <c r="G175" s="243" t="s">
        <v>53</v>
      </c>
      <c r="H175" s="244">
        <v>8</v>
      </c>
      <c r="I175" s="242" t="s">
        <v>34</v>
      </c>
      <c r="J175" s="240" t="s">
        <v>133</v>
      </c>
      <c r="K175" s="245" t="s">
        <v>490</v>
      </c>
      <c r="L175" s="246" t="s">
        <v>491</v>
      </c>
      <c r="M175" s="247">
        <f t="shared" si="5"/>
        <v>131021150</v>
      </c>
      <c r="N175" s="247">
        <f t="shared" si="6"/>
        <v>131021150</v>
      </c>
      <c r="O175" s="247">
        <f>77976150+53045000</f>
        <v>131021150</v>
      </c>
      <c r="P175" s="247"/>
      <c r="Q175" s="247"/>
      <c r="R175" s="247"/>
      <c r="S175" s="242" t="s">
        <v>38</v>
      </c>
      <c r="T175" s="242" t="s">
        <v>39</v>
      </c>
      <c r="U175" s="247"/>
      <c r="V175" s="242" t="s">
        <v>69</v>
      </c>
      <c r="W175" s="242" t="s">
        <v>492</v>
      </c>
      <c r="X175" s="242" t="s">
        <v>493</v>
      </c>
      <c r="Y175" s="242" t="s">
        <v>494</v>
      </c>
      <c r="Z175" s="242" t="s">
        <v>43</v>
      </c>
      <c r="AA175" s="248" t="s">
        <v>161</v>
      </c>
      <c r="AB175" s="249" t="s">
        <v>45</v>
      </c>
    </row>
    <row r="176" spans="1:28" x14ac:dyDescent="0.25">
      <c r="A176" s="250"/>
      <c r="B176" s="251"/>
      <c r="C176" s="252"/>
      <c r="D176" s="251"/>
      <c r="E176" s="251"/>
      <c r="F176" s="251"/>
      <c r="G176" s="251"/>
      <c r="H176" s="251"/>
      <c r="I176" s="251"/>
      <c r="J176" s="251"/>
      <c r="K176" s="252"/>
      <c r="L176" s="253">
        <f>SUM(L6:L175)</f>
        <v>0</v>
      </c>
      <c r="M176" s="253"/>
      <c r="N176" s="254">
        <f>SUM(N6:N175)</f>
        <v>134684063593.22565</v>
      </c>
      <c r="O176" s="254">
        <f>SUM(O6:O175)</f>
        <v>54763013809.15184</v>
      </c>
      <c r="P176" s="254">
        <f t="shared" ref="P176:Q176" si="7">SUM(P6:P175)</f>
        <v>79936367646.073822</v>
      </c>
      <c r="Q176" s="254">
        <f t="shared" si="7"/>
        <v>33197368288.176666</v>
      </c>
      <c r="R176" s="251"/>
      <c r="S176" s="252"/>
      <c r="T176" s="252"/>
      <c r="U176" s="252"/>
      <c r="V176" s="252"/>
      <c r="W176" s="251"/>
      <c r="X176" s="252"/>
      <c r="Y176" s="252"/>
      <c r="Z176" s="251"/>
      <c r="AA176" s="252"/>
      <c r="AB176" s="255"/>
    </row>
    <row r="177" spans="1:28" x14ac:dyDescent="0.25">
      <c r="A177" s="250"/>
      <c r="B177" s="251"/>
      <c r="C177" s="252"/>
      <c r="D177" s="251"/>
      <c r="E177" s="251"/>
      <c r="F177" s="251"/>
      <c r="G177" s="251"/>
      <c r="H177" s="251"/>
      <c r="I177" s="251"/>
      <c r="J177" s="251"/>
      <c r="K177" s="252"/>
      <c r="L177" s="253"/>
      <c r="M177" s="253"/>
      <c r="N177" s="252"/>
      <c r="O177" s="252"/>
      <c r="P177" s="251"/>
      <c r="Q177" s="251"/>
      <c r="R177" s="251"/>
      <c r="S177" s="252"/>
      <c r="T177" s="252"/>
      <c r="U177" s="252"/>
      <c r="V177" s="252"/>
      <c r="W177" s="251"/>
      <c r="X177" s="252"/>
      <c r="Y177" s="252"/>
      <c r="Z177" s="251"/>
      <c r="AA177" s="252"/>
      <c r="AB177" s="255"/>
    </row>
    <row r="178" spans="1:28" ht="14.5" x14ac:dyDescent="0.25">
      <c r="A178" s="250"/>
      <c r="B178" s="251"/>
      <c r="C178" s="256"/>
      <c r="D178" s="251"/>
      <c r="E178" s="251"/>
      <c r="F178" s="251"/>
      <c r="G178" s="251"/>
      <c r="H178" s="251"/>
      <c r="I178" s="251"/>
      <c r="J178" s="251"/>
      <c r="K178" s="252"/>
      <c r="L178" s="253"/>
      <c r="M178" s="253"/>
      <c r="N178" s="252"/>
      <c r="O178" s="257">
        <v>865194920</v>
      </c>
      <c r="P178" s="258"/>
      <c r="Q178" s="251"/>
      <c r="R178" s="251"/>
      <c r="S178" s="252"/>
      <c r="T178" s="252"/>
      <c r="U178" s="252"/>
      <c r="V178" s="252"/>
      <c r="W178" s="251"/>
      <c r="X178" s="252"/>
      <c r="Y178" s="252"/>
      <c r="Z178" s="251"/>
      <c r="AA178" s="252"/>
      <c r="AB178" s="255"/>
    </row>
    <row r="179" spans="1:28" x14ac:dyDescent="0.25">
      <c r="A179" s="250"/>
      <c r="B179" s="251"/>
      <c r="C179" s="252"/>
      <c r="D179" s="251"/>
      <c r="E179" s="251"/>
      <c r="F179" s="251"/>
      <c r="G179" s="251"/>
      <c r="H179" s="251"/>
      <c r="I179" s="251"/>
      <c r="J179" s="251"/>
      <c r="K179" s="252"/>
      <c r="L179" s="253"/>
      <c r="M179" s="253"/>
      <c r="N179" s="252"/>
      <c r="O179" s="259">
        <f>O178-O19</f>
        <v>559119960</v>
      </c>
      <c r="P179" s="251"/>
      <c r="Q179" s="251"/>
      <c r="R179" s="251"/>
      <c r="S179" s="252"/>
      <c r="T179" s="252"/>
      <c r="U179" s="252"/>
      <c r="V179" s="252"/>
      <c r="W179" s="251"/>
      <c r="X179" s="252"/>
      <c r="Y179" s="252"/>
      <c r="Z179" s="251"/>
      <c r="AA179" s="252"/>
      <c r="AB179" s="255"/>
    </row>
    <row r="180" spans="1:28" ht="13" x14ac:dyDescent="0.3">
      <c r="A180" s="250"/>
      <c r="B180" s="251"/>
      <c r="C180" s="252"/>
      <c r="D180" s="251"/>
      <c r="E180" s="251"/>
      <c r="F180" s="251"/>
      <c r="G180" s="251"/>
      <c r="H180" s="251"/>
      <c r="I180" s="251"/>
      <c r="J180" s="251"/>
      <c r="K180" s="252"/>
      <c r="L180" s="253"/>
      <c r="M180" s="253"/>
      <c r="N180" s="252"/>
      <c r="O180" s="260"/>
      <c r="P180" s="258"/>
      <c r="Q180" s="251"/>
      <c r="R180" s="251"/>
      <c r="S180" s="252"/>
      <c r="T180" s="252"/>
      <c r="U180" s="252"/>
      <c r="V180" s="252"/>
      <c r="W180" s="251"/>
      <c r="X180" s="252"/>
      <c r="Y180" s="252"/>
      <c r="Z180" s="251"/>
      <c r="AA180" s="252"/>
      <c r="AB180" s="255"/>
    </row>
    <row r="181" spans="1:28" x14ac:dyDescent="0.25">
      <c r="A181" s="250"/>
      <c r="B181" s="251"/>
      <c r="C181" s="252"/>
      <c r="D181" s="251"/>
      <c r="E181" s="251"/>
      <c r="F181" s="251"/>
      <c r="G181" s="251"/>
      <c r="H181" s="251"/>
      <c r="I181" s="251"/>
      <c r="J181" s="251"/>
      <c r="K181" s="252"/>
      <c r="L181" s="253"/>
      <c r="M181" s="253"/>
      <c r="N181" s="252"/>
      <c r="O181" s="252"/>
      <c r="P181" s="251"/>
      <c r="Q181" s="251"/>
      <c r="R181" s="251"/>
      <c r="S181" s="252"/>
      <c r="T181" s="252"/>
      <c r="U181" s="252"/>
      <c r="V181" s="252"/>
      <c r="W181" s="251"/>
      <c r="X181" s="252"/>
      <c r="Y181" s="252"/>
      <c r="Z181" s="251"/>
      <c r="AA181" s="252"/>
      <c r="AB181" s="255"/>
    </row>
    <row r="182" spans="1:28" x14ac:dyDescent="0.25">
      <c r="A182" s="250"/>
      <c r="B182" s="251"/>
      <c r="C182" s="252"/>
      <c r="D182" s="251"/>
      <c r="E182" s="251"/>
      <c r="F182" s="251"/>
      <c r="G182" s="251"/>
      <c r="H182" s="251"/>
      <c r="I182" s="251"/>
      <c r="J182" s="251"/>
      <c r="K182" s="252"/>
      <c r="L182" s="253"/>
      <c r="M182" s="253"/>
      <c r="N182" s="252"/>
      <c r="O182" s="261"/>
      <c r="P182" s="251"/>
      <c r="Q182" s="251"/>
      <c r="R182" s="251"/>
      <c r="S182" s="252"/>
      <c r="T182" s="252"/>
      <c r="U182" s="252"/>
      <c r="V182" s="252"/>
      <c r="W182" s="251"/>
      <c r="X182" s="252"/>
      <c r="Y182" s="252"/>
      <c r="Z182" s="251"/>
      <c r="AA182" s="252"/>
      <c r="AB182" s="255"/>
    </row>
    <row r="183" spans="1:28" x14ac:dyDescent="0.25">
      <c r="A183" s="250"/>
      <c r="B183" s="251"/>
      <c r="C183" s="252"/>
      <c r="D183" s="251"/>
      <c r="E183" s="251"/>
      <c r="F183" s="251"/>
      <c r="G183" s="251"/>
      <c r="H183" s="251"/>
      <c r="I183" s="251"/>
      <c r="J183" s="251"/>
      <c r="K183" s="252"/>
      <c r="L183" s="253"/>
      <c r="M183" s="253"/>
      <c r="N183" s="252"/>
      <c r="O183" s="252"/>
      <c r="P183" s="251"/>
      <c r="Q183" s="251"/>
      <c r="R183" s="251"/>
      <c r="S183" s="252"/>
      <c r="T183" s="252"/>
      <c r="U183" s="252"/>
      <c r="V183" s="252"/>
      <c r="W183" s="251"/>
      <c r="X183" s="252"/>
      <c r="Y183" s="252"/>
      <c r="Z183" s="251"/>
      <c r="AA183" s="252"/>
      <c r="AB183" s="255"/>
    </row>
    <row r="184" spans="1:28" s="5" customFormat="1" x14ac:dyDescent="0.25">
      <c r="A184" s="250"/>
      <c r="B184" s="251"/>
      <c r="C184" s="252"/>
      <c r="D184" s="251"/>
      <c r="E184" s="251"/>
      <c r="F184" s="251"/>
      <c r="G184" s="251"/>
      <c r="H184" s="251"/>
      <c r="I184" s="251"/>
      <c r="J184" s="251"/>
      <c r="K184" s="252"/>
      <c r="L184" s="253"/>
      <c r="M184" s="253"/>
      <c r="N184" s="252"/>
      <c r="O184" s="252"/>
      <c r="P184" s="251"/>
      <c r="Q184" s="251"/>
      <c r="R184" s="251"/>
      <c r="S184" s="252"/>
      <c r="T184" s="252"/>
      <c r="U184" s="252"/>
      <c r="V184" s="252"/>
      <c r="W184" s="251"/>
      <c r="X184" s="252"/>
      <c r="Y184" s="252"/>
      <c r="Z184" s="251"/>
      <c r="AA184" s="252"/>
      <c r="AB184" s="255"/>
    </row>
    <row r="185" spans="1:28" s="5" customFormat="1" x14ac:dyDescent="0.25">
      <c r="A185" s="250"/>
      <c r="B185" s="251"/>
      <c r="C185" s="252"/>
      <c r="D185" s="251"/>
      <c r="E185" s="251"/>
      <c r="F185" s="251"/>
      <c r="G185" s="251"/>
      <c r="H185" s="251"/>
      <c r="I185" s="251"/>
      <c r="J185" s="251"/>
      <c r="K185" s="252"/>
      <c r="L185" s="253"/>
      <c r="M185" s="253"/>
      <c r="N185" s="252"/>
      <c r="O185" s="252"/>
      <c r="P185" s="251"/>
      <c r="Q185" s="251"/>
      <c r="R185" s="251"/>
      <c r="S185" s="252"/>
      <c r="T185" s="252"/>
      <c r="U185" s="252"/>
      <c r="V185" s="252"/>
      <c r="W185" s="251"/>
      <c r="X185" s="252"/>
      <c r="Y185" s="252"/>
      <c r="Z185" s="251"/>
      <c r="AA185" s="252"/>
      <c r="AB185" s="255"/>
    </row>
    <row r="186" spans="1:28" s="5" customFormat="1" x14ac:dyDescent="0.25">
      <c r="A186" s="250"/>
      <c r="B186" s="251"/>
      <c r="C186" s="252"/>
      <c r="D186" s="251"/>
      <c r="E186" s="251"/>
      <c r="F186" s="251"/>
      <c r="G186" s="251"/>
      <c r="H186" s="251"/>
      <c r="I186" s="251"/>
      <c r="J186" s="251"/>
      <c r="K186" s="252"/>
      <c r="L186" s="253"/>
      <c r="M186" s="253"/>
      <c r="N186" s="252"/>
      <c r="O186" s="252"/>
      <c r="P186" s="251"/>
      <c r="Q186" s="251"/>
      <c r="R186" s="251"/>
      <c r="S186" s="252"/>
      <c r="T186" s="252"/>
      <c r="U186" s="252"/>
      <c r="V186" s="252"/>
      <c r="W186" s="251"/>
      <c r="X186" s="252"/>
      <c r="Y186" s="252"/>
      <c r="Z186" s="251"/>
      <c r="AA186" s="252"/>
      <c r="AB186" s="255"/>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7" xr:uid="{552091B1-4327-4D06-B598-0C2FF6CD6B6D}"/>
  </dataValidations>
  <hyperlinks>
    <hyperlink ref="AB6" r:id="rId1" xr:uid="{AD5211B8-6893-414F-ACE8-D7D98BE73192}"/>
    <hyperlink ref="AB8:AB24" r:id="rId2" display="javiermosquera@reincorporacion.gov.co" xr:uid="{5A4761B7-B99D-44DD-8AF2-512BC6636E81}"/>
    <hyperlink ref="AB16:AB24" r:id="rId3" display="javiermosquera@reincorporacion.gov.co" xr:uid="{89115ED4-DA18-415A-BC1F-67A65FF45727}"/>
    <hyperlink ref="AB21" r:id="rId4" xr:uid="{24D9F136-1C53-484C-ABFF-850D417AD3C0}"/>
    <hyperlink ref="AB61" r:id="rId5" xr:uid="{FB8CFFA7-E45B-4F08-A6F9-7BAAB69C7832}"/>
    <hyperlink ref="AB62" r:id="rId6" xr:uid="{86E1729D-12BA-4FC6-A456-23D892271DBC}"/>
    <hyperlink ref="AB63" r:id="rId7" xr:uid="{AFCAC510-00EF-4511-B38D-103B329D0E24}"/>
    <hyperlink ref="AB64" r:id="rId8" xr:uid="{5FDE27BE-C977-4E64-913F-483302AA5654}"/>
    <hyperlink ref="AB65" r:id="rId9" xr:uid="{3C8A7028-070E-4E10-948D-3290ABB17851}"/>
    <hyperlink ref="AB66" r:id="rId10" xr:uid="{B997DF8A-250D-4883-8831-94181A06D289}"/>
    <hyperlink ref="AB67" r:id="rId11" xr:uid="{4F11D08C-B602-4CD3-99B7-9BB3B8C6A5EC}"/>
    <hyperlink ref="AB68" r:id="rId12" xr:uid="{6A19BD45-330A-4902-82B3-9A786791C058}"/>
    <hyperlink ref="AB69" r:id="rId13" xr:uid="{35986CE6-9351-4738-B644-49E0FB89E849}"/>
    <hyperlink ref="AB70" r:id="rId14" xr:uid="{612BEF15-6EA6-4735-95F4-93B16E0192D4}"/>
    <hyperlink ref="AB71" r:id="rId15" xr:uid="{4480F4E7-62FD-4E51-A888-576B83DB1EEF}"/>
    <hyperlink ref="AB73" r:id="rId16" xr:uid="{7B239BA3-E0F0-4BCF-8F69-FAA4CAD1802B}"/>
    <hyperlink ref="AB74" r:id="rId17" xr:uid="{C7EA7A4A-3210-4155-9A6E-FEFAE4B9FDD2}"/>
    <hyperlink ref="AB80" r:id="rId18" xr:uid="{E619A940-2F52-41FF-8066-26056B3FBCE0}"/>
    <hyperlink ref="AB81" r:id="rId19" xr:uid="{4671C516-BEC1-44AD-8174-0667E3059055}"/>
    <hyperlink ref="AB82:AB85" r:id="rId20" display="javiermosquera@reincorporacion.gov.co" xr:uid="{0638C117-B8AD-4E56-B9A9-C134736B7C7F}"/>
    <hyperlink ref="AB86" r:id="rId21" xr:uid="{97EE87BA-92D4-4DC8-9260-5D07452883F4}"/>
    <hyperlink ref="AB87" r:id="rId22" xr:uid="{FA72A8BA-B532-43A5-B00B-63F9C832806C}"/>
    <hyperlink ref="AB172" r:id="rId23" xr:uid="{54CD9AC0-8999-4154-B150-FDCBF3B37749}"/>
    <hyperlink ref="AB173:AB174" r:id="rId24" display="javiermosquera@reincorporacion.gov.co" xr:uid="{C406290C-9E02-4E78-B8B2-D87A0BDCD90F}"/>
    <hyperlink ref="AB174" r:id="rId25" xr:uid="{ACF131EA-8A14-4937-8A54-2AFAFD3B6A71}"/>
    <hyperlink ref="AB175" r:id="rId26" xr:uid="{23A643E9-6156-4211-86BD-7FCCC2683DFE}"/>
    <hyperlink ref="AB45" r:id="rId27" xr:uid="{6E3F19C5-10F9-4471-B30D-C57BF12B0DD2}"/>
    <hyperlink ref="AB43" r:id="rId28" xr:uid="{EB132DC8-263A-424B-963F-307B2B6BF0B4}"/>
    <hyperlink ref="AB59" r:id="rId29" xr:uid="{15A85680-45F7-4DE8-AA18-FB2379FBFCB2}"/>
    <hyperlink ref="AB42" r:id="rId30" xr:uid="{9653694B-4E97-472F-8623-172CB7A03D55}"/>
    <hyperlink ref="AB41" r:id="rId31" xr:uid="{D68090D0-BD5E-4E0E-BEE0-E21756BE5003}"/>
    <hyperlink ref="AB44" r:id="rId32" xr:uid="{329EB9A4-B541-48BA-9A14-06AE8D7E24EA}"/>
    <hyperlink ref="AB40" r:id="rId33" xr:uid="{7B9B9DF8-05E3-4F08-BF4A-B7632856D33D}"/>
    <hyperlink ref="AB37" r:id="rId34" xr:uid="{8A982333-9B81-41D4-93D5-E45BADF9A3B9}"/>
    <hyperlink ref="AB31" r:id="rId35" xr:uid="{BA83A262-5C3E-4752-B358-40100B504E66}"/>
    <hyperlink ref="AB7" r:id="rId36" xr:uid="{549FC649-A980-4720-8E6F-A4D119856EF8}"/>
    <hyperlink ref="AB79" r:id="rId37" xr:uid="{094E7865-F02B-49A8-8CCC-915B1A5077AE}"/>
    <hyperlink ref="AB77" r:id="rId38" xr:uid="{51990D33-2FD4-4D10-AC6D-5FD481573906}"/>
    <hyperlink ref="AB169:AB171" r:id="rId39" display="javiermosquera@reincorporacion.gov.co" xr:uid="{D8B1A932-CE65-4A21-9B24-6C3FF859CC49}"/>
    <hyperlink ref="AB168" r:id="rId40" xr:uid="{64589B61-4B5A-4956-8730-18768BB9988E}"/>
    <hyperlink ref="AB170" r:id="rId41" xr:uid="{57643274-15CF-4DFC-B1F5-EE2594ADC288}"/>
    <hyperlink ref="AB96" r:id="rId42" xr:uid="{75E25784-B8DF-4712-9249-FB12A3EE171A}"/>
    <hyperlink ref="AB97" r:id="rId43" xr:uid="{9F71DD4D-4D85-4B7B-A2E0-949397C2E74A}"/>
    <hyperlink ref="AB98" r:id="rId44" xr:uid="{BFB45091-87A0-45A3-83EC-918D1A6D3206}"/>
    <hyperlink ref="AB99" r:id="rId45" xr:uid="{F3682E2D-B475-476A-8CED-B0AAB718D5AD}"/>
    <hyperlink ref="AB103:AB152" r:id="rId46" display="javiermosquera@reincorporacion.gov.co" xr:uid="{D31A76E0-2A22-43FD-B359-A592B89CBB3F}"/>
    <hyperlink ref="AB25" r:id="rId47" xr:uid="{9EF140B7-5E74-43B0-9281-C4E3B021E473}"/>
    <hyperlink ref="AB29" r:id="rId48" xr:uid="{F47A383A-CAD2-4A15-A85A-FC9B2CB0AA72}"/>
    <hyperlink ref="AB76" r:id="rId49" xr:uid="{F77E2D96-383E-442F-A38F-0B8D2B7C9AA2}"/>
    <hyperlink ref="AB10" r:id="rId50" xr:uid="{42893AA1-6BBA-4DB0-8601-F7E602D40A6A}"/>
    <hyperlink ref="AB15" r:id="rId51" xr:uid="{20A48B83-0219-45C8-BA2C-D6A4EE463791}"/>
    <hyperlink ref="AB26" r:id="rId52" xr:uid="{DCDB8635-EED8-4FCC-8E3C-0683CA5AC8CC}"/>
    <hyperlink ref="AB30" r:id="rId53" xr:uid="{4C87C117-D56F-4D9D-B636-21C45D6A4539}"/>
    <hyperlink ref="AB32" r:id="rId54" xr:uid="{812502F2-4350-49EA-A143-18FF74615534}"/>
    <hyperlink ref="AB72" r:id="rId55" xr:uid="{2782502B-D564-41A8-840C-A224D382B432}"/>
    <hyperlink ref="AB88" r:id="rId56" xr:uid="{FCED4224-BCB7-446A-BBAE-3BF0EB000DBD}"/>
    <hyperlink ref="AB100" r:id="rId57" xr:uid="{9AA9E302-0A98-470B-A9EE-9E2ACAF15A90}"/>
    <hyperlink ref="AB103:AB104" r:id="rId58" display="javiermosquera@reincorporacion.gov.co" xr:uid="{8ED4EBA9-274C-4C4A-AD09-A0992ECBC771}"/>
    <hyperlink ref="AB106:AB109" r:id="rId59" display="javiermosquera@reincorporacion.gov.co" xr:uid="{C3A5FC43-CF16-4100-9E6E-C755A3996AF5}"/>
    <hyperlink ref="AB107" r:id="rId60" xr:uid="{C2E21304-E09E-49BA-8D77-2A4BBC0E607F}"/>
    <hyperlink ref="AB111:AB120" r:id="rId61" display="javiermosquera@reincorporacion.gov.co" xr:uid="{15E73CB8-D0F1-4B7E-AE88-23A2E72696EE}"/>
    <hyperlink ref="AB116" r:id="rId62" xr:uid="{1B86752B-30F6-4CB0-9FA3-0F4FDA70CE2B}"/>
    <hyperlink ref="AB113" r:id="rId63" xr:uid="{86769187-6D77-4ACE-9E27-C3E6AEDC70FE}"/>
    <hyperlink ref="AB121:AB131" r:id="rId64" display="javiermosquera@reincorporacion.gov.co" xr:uid="{EE60AE4B-78CD-42AC-B876-79AA7A58CBBA}"/>
    <hyperlink ref="AB132:AB141" r:id="rId65" display="javiermosquera@reincorporacion.gov.co" xr:uid="{88A73B79-5B0D-47DC-AE1D-C3F2FA87860D}"/>
    <hyperlink ref="AB142:AB150" r:id="rId66" display="javiermosquera@reincorporacion.gov.co" xr:uid="{4C29AD34-9595-4273-9BEA-10E12AEDEBC1}"/>
    <hyperlink ref="AB151" r:id="rId67" xr:uid="{524C9584-5318-4048-A7D8-102423A751D5}"/>
    <hyperlink ref="AB160" r:id="rId68" xr:uid="{95D1075B-1619-4E8C-BC49-560386EEB9BC}"/>
    <hyperlink ref="AB157" r:id="rId69" xr:uid="{4F3A054F-756C-4EE7-8ED8-DDF736FDF16A}"/>
    <hyperlink ref="AB121" r:id="rId70" xr:uid="{E4A0B592-C1B4-42F3-BF99-527A912D4F30}"/>
    <hyperlink ref="AB9" r:id="rId71" xr:uid="{0AE9F8DC-7FA4-487B-BB2F-77AEC27239FE}"/>
    <hyperlink ref="AB20" r:id="rId72" xr:uid="{4DF9BE95-60CF-439D-8E26-82A6ACFD9D7C}"/>
    <hyperlink ref="AB38" r:id="rId73" xr:uid="{26A6C16A-65FE-4A58-BF05-CCD009D5929B}"/>
    <hyperlink ref="AB162" r:id="rId74" xr:uid="{57084542-30F7-42A7-A1A2-5F2A59DC5816}"/>
    <hyperlink ref="AB14" r:id="rId75" xr:uid="{EC387EF8-1E63-4AD3-B7AF-DAE3255A8F9B}"/>
    <hyperlink ref="AB12" r:id="rId76" xr:uid="{50ADCB5A-D369-4272-9059-D1C98950E9FF}"/>
    <hyperlink ref="AB84" r:id="rId77" xr:uid="{7778EA1B-23FD-4C0F-80F3-E6B0A0EB2FE3}"/>
    <hyperlink ref="AB103" r:id="rId78" xr:uid="{4F3B91A0-DE57-454C-8C55-9E2A376C5F2A}"/>
    <hyperlink ref="AB101" r:id="rId79" xr:uid="{5701B1C3-5C09-4078-9768-FDE9360DAA77}"/>
    <hyperlink ref="AB105" r:id="rId80" xr:uid="{17B754C9-30F1-474A-A7F5-69D327CC949F}"/>
    <hyperlink ref="AB110" r:id="rId81" xr:uid="{667C9422-F7DA-4FF4-BEEC-ABE762E61EDC}"/>
    <hyperlink ref="AB17" r:id="rId82" xr:uid="{8B2E6F40-7A86-47E8-9D05-8DC53E651BE6}"/>
    <hyperlink ref="AB161" r:id="rId83" xr:uid="{FD243BC5-254C-40BF-9953-A3D4F60C676D}"/>
    <hyperlink ref="AB159" r:id="rId84" xr:uid="{676BF71C-1DE2-4912-9F31-86CB70F2E7C4}"/>
    <hyperlink ref="AB39" r:id="rId85" xr:uid="{1A6D99CA-8A0A-480A-9214-EA65087F63AF}"/>
  </hyperlinks>
  <pageMargins left="0.70866141732283472" right="0.70866141732283472" top="0.74803149606299213" bottom="0.74803149606299213" header="0.31496062992125984" footer="0.31496062992125984"/>
  <pageSetup scale="39" orientation="landscape" r:id="rId86"/>
  <rowBreaks count="2" manualBreakCount="2">
    <brk id="30" max="51" man="1"/>
    <brk id="61" max="16383" man="1"/>
  </rowBreaks>
  <colBreaks count="2" manualBreakCount="2">
    <brk id="13" max="1048575" man="1"/>
    <brk id="27" max="190" man="1"/>
  </colBreaks>
  <legacyDrawing r:id="rId87"/>
  <tableParts count="1">
    <tablePart r:id="rId88"/>
  </tableParts>
  <extLst>
    <ext xmlns:x14="http://schemas.microsoft.com/office/spreadsheetml/2009/9/main" uri="{CCE6A557-97BC-4b89-ADB6-D9C93CAAB3DF}">
      <x14:dataValidations xmlns:xm="http://schemas.microsoft.com/office/excel/2006/main" count="8">
        <x14:dataValidation type="list" allowBlank="1" showInputMessage="1" showErrorMessage="1" xr:uid="{EBF90F87-E303-4F06-8601-5A867C77A2C7}">
          <x14:formula1>
            <xm:f>'Z:\CONTRATACION\ARN\2020\PLAN ANUAL DE CONTRATACION\[Plan de Adquisiciones ARN 2020  VER_2.xlsx]Listas'!#REF!</xm:f>
          </x14:formula1>
          <xm:sqref>A166</xm:sqref>
        </x14:dataValidation>
        <x14:dataValidation type="list" allowBlank="1" showInputMessage="1" showErrorMessage="1" xr:uid="{685DB27C-58DC-4A2A-8C75-590976F7EC2B}">
          <x14:formula1>
            <xm:f>'[Plan de Adquisiciones ARN 2020  En construccion_6.xlsx]Listas'!#REF!</xm:f>
          </x14:formula1>
          <xm:sqref>A167:A175 A6:A25 A27:A165 V6:V19 V21:V175 J6:J19 J21:J175</xm:sqref>
        </x14:dataValidation>
        <x14:dataValidation type="list" allowBlank="1" showInputMessage="1" showErrorMessage="1" xr:uid="{7C3CB46F-62D6-4AF1-9EA8-218F7DED83B8}">
          <x14:formula1>
            <xm:f>'C:\Users\leonardovillamil\AppData\Local\Microsoft\Windows\INetCache\Content.Outlook\HMCHKIQZ\[Formulario Necesidades -PAA 2020 OAC 29-nov-2019 ALCANCE.xlsx]Listas'!#REF!</xm:f>
          </x14:formula1>
          <xm:sqref>T168:U171</xm:sqref>
        </x14:dataValidation>
        <x14:dataValidation type="list" allowBlank="1" showInputMessage="1" showErrorMessage="1" xr:uid="{D71A57D1-3516-4BEB-8150-A404E01FE107}">
          <x14:formula1>
            <xm:f>'Z:\ARN\2019\PLAN DE ADQUISICIONES\Elaboracion PAA\PAA 2020\Necesidades Areas 2020\[Copia de 1 PAA DPR Actualizado a 03012020.xlsx]Listas'!#REF!</xm:f>
          </x14:formula1>
          <xm:sqref>J20</xm:sqref>
        </x14:dataValidation>
        <x14:dataValidation type="list" allowBlank="1" showInputMessage="1" showErrorMessage="1" xr:uid="{03F15E34-4827-4FCD-BFAF-204E06890F96}">
          <x14:formula1>
            <xm:f>'A:\Gestion Oficina TI\Jefatura OTI\PRESUPUESTO\PRESUPUESTO OTI 2019\Anteproyecto PAA\[Formulario Necesidades -PAA 2020 (18112019).xlsx]Listas'!#REF!</xm:f>
          </x14:formula1>
          <xm:sqref>U31:U32 U35:U40 U42:U57 U59:U60</xm:sqref>
        </x14:dataValidation>
        <x14:dataValidation type="list" allowBlank="1" showInputMessage="1" showErrorMessage="1" xr:uid="{80A1676F-B7D8-4E9C-994E-07BC8B5AE94E}">
          <x14:formula1>
            <xm:f>'C:\Users\leonardovillamil\Documents\ARN\PAA 2019\ELABORACION PAA 2020\Necesidades depencias\[Formulario Necesidades -PAA 2020 Planeacion.xlsx]Listas'!#REF!</xm:f>
          </x14:formula1>
          <xm:sqref>T86:U87</xm:sqref>
        </x14:dataValidation>
        <x14:dataValidation type="list" allowBlank="1" showInputMessage="1" showErrorMessage="1" xr:uid="{9FDFBA9C-9DE9-4ADE-BCF5-08D15AD81518}">
          <x14:formula1>
            <xm:f>'C:\Users\leonardovillamil\Documents\ARN\PAA 2019\ELABORACION PAA 2020\Necesidades depencias\[Formulario Necesidades -PAA 2020 financiera.xlsb]Listas'!#REF!</xm:f>
          </x14:formula1>
          <xm:sqref>T78:U78 U80</xm:sqref>
        </x14:dataValidation>
        <x14:dataValidation type="list" allowBlank="1" showInputMessage="1" showErrorMessage="1" xr:uid="{24BCD748-29AF-4F29-A1DE-4F5E230B340A}">
          <x14:formula1>
            <xm:f>'C:\Users\carolinacastillo\Documents\DPR 2020\Plan Anual de Adquisiciones 2020\[201119 Consolidado PAA 2020 DPR V1_18112019.xlsx]Listas'!#REF!</xm:f>
          </x14:formula1>
          <xm:sqref>T7:U9 T11:U12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3CFCSSYJ6V66-57-125</_dlc_DocId>
    <_dlc_DocIdUrl xmlns="6e2a57a2-9d48-4009-82e5-3fe89fb6c543">
      <Url>https://pruportal.reincorporacion.gov.co/es/agencia/_layouts/15/DocIdRedir.aspx?ID=3CFCSSYJ6V66-57-125</Url>
      <Description>3CFCSSYJ6V66-57-125</Description>
    </_dlc_DocIdUrl>
  </documentManagement>
</p:properties>
</file>

<file path=customXml/itemProps1.xml><?xml version="1.0" encoding="utf-8"?>
<ds:datastoreItem xmlns:ds="http://schemas.openxmlformats.org/officeDocument/2006/customXml" ds:itemID="{EB1B31E6-CE66-48BE-AC30-FB175F7E6FA4}"/>
</file>

<file path=customXml/itemProps2.xml><?xml version="1.0" encoding="utf-8"?>
<ds:datastoreItem xmlns:ds="http://schemas.openxmlformats.org/officeDocument/2006/customXml" ds:itemID="{6C7D0725-83DB-4E5D-8A3C-DE76F13DA98E}"/>
</file>

<file path=customXml/itemProps3.xml><?xml version="1.0" encoding="utf-8"?>
<ds:datastoreItem xmlns:ds="http://schemas.openxmlformats.org/officeDocument/2006/customXml" ds:itemID="{D0C162EA-3C7C-4439-95B7-939652D37F91}"/>
</file>

<file path=customXml/itemProps4.xml><?xml version="1.0" encoding="utf-8"?>
<ds:datastoreItem xmlns:ds="http://schemas.openxmlformats.org/officeDocument/2006/customXml" ds:itemID="{21E3B48F-7944-40CF-B34C-90BB85DEA1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Segundo Villamil Huertas</dc:creator>
  <cp:lastModifiedBy>Leonardo Segundo Villamil Huertas</cp:lastModifiedBy>
  <dcterms:created xsi:type="dcterms:W3CDTF">2020-05-26T20:40:48Z</dcterms:created>
  <dcterms:modified xsi:type="dcterms:W3CDTF">2020-05-27T16:10:08Z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e55a4ce2-32c8-4ef3-8993-ff43a4661ea9</vt:lpwstr>
  </property>
</Properties>
</file>